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273" firstSheet="0" activeTab="2"/>
  </bookViews>
  <sheets>
    <sheet name="Master" sheetId="1" state="visible" r:id="rId2"/>
    <sheet name="Agenda" sheetId="2" state="visible" r:id="rId3"/>
    <sheet name="Roster" sheetId="3" state="visible" r:id="rId4"/>
    <sheet name="Merge" sheetId="4" state="visible" r:id="rId5"/>
  </sheets>
  <definedNames>
    <definedName function="false" hidden="false" localSheetId="1" name="_xlnm.Print_Area" vbProcedure="false">Agenda!$A$1:$H$48</definedName>
    <definedName function="false" hidden="false" localSheetId="0" name="_xlnm.Print_Area" vbProcedure="false">Master!$A$2:$BO$39</definedName>
    <definedName function="false" hidden="false" localSheetId="2" name="_xlnm.Print_Area" vbProcedure="false">Roster!$A$1:$G$189</definedName>
    <definedName function="false" hidden="false" localSheetId="2" name="_xlnm.Print_Titles" vbProcedure="false">Roster!$1:$1</definedName>
    <definedName function="false" hidden="false" localSheetId="0" name="Excel_BuiltIn_Print_Area" vbProcedure="false">master!#ref!</definedName>
    <definedName function="false" hidden="false" localSheetId="0" name="Print_Area_0" vbProcedure="false">master!#ref!</definedName>
    <definedName function="false" hidden="false" localSheetId="0" name="Print_Area_0_0" vbProcedure="false">master!#ref!</definedName>
    <definedName function="false" hidden="false" localSheetId="0" name="Print_Area_0_0_0" vbProcedure="false">master!#ref!</definedName>
    <definedName function="false" hidden="false" localSheetId="0" name="Print_Area_0_0_0_0" vbProcedure="false">master!#ref!</definedName>
    <definedName function="false" hidden="false" localSheetId="0" name="Print_Area_0_0_0_0_0" vbProcedure="false">master!#ref!</definedName>
    <definedName function="false" hidden="false" localSheetId="0" name="Print_Area_0_0_0_0_0_0" vbProcedure="false">master!#ref!</definedName>
    <definedName function="false" hidden="false" localSheetId="0" name="Print_Area_0_0_0_0_0_0_0" vbProcedure="false">master!#ref!</definedName>
    <definedName function="false" hidden="false" localSheetId="0" name="Print_Area_0_0_0_0_0_0_0_0" vbProcedure="false">master!#ref!</definedName>
    <definedName function="false" hidden="false" localSheetId="0" name="Print_Area_0_0_0_0_0_0_0_0_0" vbProcedure="false">master!#ref!</definedName>
    <definedName function="false" hidden="false" localSheetId="0" name="Print_Area_0_0_0_0_0_0_0_0_0_0" vbProcedure="false">master!#ref!</definedName>
    <definedName function="false" hidden="false" localSheetId="0" name="Print_Area_0_0_0_0_0_0_0_0_0_0_0" vbProcedure="false">master!#ref!</definedName>
    <definedName function="false" hidden="false" localSheetId="0" name="Print_Area_0_0_0_0_0_0_0_0_0_0_0_0" vbProcedure="false">master!#ref!</definedName>
    <definedName function="false" hidden="false" localSheetId="0" name="Print_Area_0_0_0_0_0_0_0_0_0_0_0_0_0" vbProcedure="false">master!#ref!</definedName>
    <definedName function="false" hidden="false" localSheetId="0" name="Print_Area_0_0_0_0_0_0_0_0_0_0_0_0_0_0" vbProcedure="false">master!#ref!</definedName>
    <definedName function="false" hidden="false" localSheetId="0" name="Print_Area_0_0_0_0_0_0_0_0_0_0_0_0_0_0_0" vbProcedure="false">master!#ref!</definedName>
    <definedName function="false" hidden="false" localSheetId="0" name="Print_Area_0_0_0_0_0_0_0_0_0_0_0_0_0_0_0_0" vbProcedure="false">master!#ref!</definedName>
    <definedName function="false" hidden="false" localSheetId="0" name="Print_Area_0_0_0_0_0_0_0_0_0_0_0_0_0_0_0_0_0" vbProcedure="false">master!#ref!</definedName>
    <definedName function="false" hidden="false" localSheetId="0" name="_xlnm.Print_Area" vbProcedure="false">Master!$A$2:$BO$34</definedName>
    <definedName function="false" hidden="false" localSheetId="0" name="_xlnm.Print_Area_0" vbProcedure="false">Master!$A$2:$BO$39</definedName>
    <definedName function="false" hidden="false" localSheetId="0" name="_xlnm.Print_Area_0_0" vbProcedure="false">Master!$A$2:$BO$33</definedName>
    <definedName function="false" hidden="false" localSheetId="0" name="_xlnm.Print_Area_0_0_0" vbProcedure="false">master!#ref!</definedName>
    <definedName function="false" hidden="false" localSheetId="0" name="_xlnm.Print_Area_0_0_0_0" vbProcedure="false">master!#ref!</definedName>
    <definedName function="false" hidden="false" localSheetId="0" name="_xlnm.Print_Area_0_0_0_0_0" vbProcedure="false">master!#ref!</definedName>
    <definedName function="false" hidden="false" localSheetId="0" name="_xlnm.Print_Area_0_0_0_0_0_0" vbProcedure="false">master!#ref!</definedName>
    <definedName function="false" hidden="false" localSheetId="0" name="_xlnm.Print_Area_0_0_0_0_0_0_0" vbProcedure="false">master!#ref!</definedName>
    <definedName function="false" hidden="false" localSheetId="1" name="Excel_BuiltIn_Print_Area" vbProcedure="false">Agenda!$A$1:$G$48</definedName>
    <definedName function="false" hidden="false" localSheetId="1" name="Print_Area_0" vbProcedure="false">Agenda!$A$1:$H$48</definedName>
    <definedName function="false" hidden="false" localSheetId="1" name="Print_Area_0_0" vbProcedure="false">Agenda!$A$1:$H$48</definedName>
    <definedName function="false" hidden="false" localSheetId="1" name="Print_Area_0_0_0" vbProcedure="false">Agenda!$A$1:$H$48</definedName>
    <definedName function="false" hidden="false" localSheetId="1" name="Print_Area_0_0_0_0" vbProcedure="false">Agenda!$A$1:$H$48</definedName>
    <definedName function="false" hidden="false" localSheetId="1" name="Print_Area_0_0_0_0_0" vbProcedure="false">Agenda!$A$1:$H$48</definedName>
    <definedName function="false" hidden="false" localSheetId="1" name="Print_Area_0_0_0_0_0_0" vbProcedure="false">Agenda!$A$1:$H$48</definedName>
    <definedName function="false" hidden="false" localSheetId="1" name="Print_Area_0_0_0_0_0_0_0" vbProcedure="false">Agenda!$A$1:$H$48</definedName>
    <definedName function="false" hidden="false" localSheetId="1" name="Print_Area_0_0_0_0_0_0_0_0" vbProcedure="false">Agenda!$A$1:$H$48</definedName>
    <definedName function="false" hidden="false" localSheetId="1" name="Print_Area_0_0_0_0_0_0_0_0_0" vbProcedure="false">Agenda!$A$1:$H$48</definedName>
    <definedName function="false" hidden="false" localSheetId="1" name="Print_Area_0_0_0_0_0_0_0_0_0_0" vbProcedure="false">Agenda!$A$1:$H$48</definedName>
    <definedName function="false" hidden="false" localSheetId="1" name="Print_Area_0_0_0_0_0_0_0_0_0_0_0" vbProcedure="false">Agenda!$A$1:$H$48</definedName>
    <definedName function="false" hidden="false" localSheetId="1" name="Print_Area_0_0_0_0_0_0_0_0_0_0_0_0" vbProcedure="false">Agenda!$A$1:$H$48</definedName>
    <definedName function="false" hidden="false" localSheetId="1" name="Print_Area_0_0_0_0_0_0_0_0_0_0_0_0_0" vbProcedure="false">Agenda!$A$1:$H$48</definedName>
    <definedName function="false" hidden="false" localSheetId="1" name="Print_Area_0_0_0_0_0_0_0_0_0_0_0_0_0_0" vbProcedure="false">Agenda!$A$1:$H$48</definedName>
    <definedName function="false" hidden="false" localSheetId="1" name="Print_Area_0_0_0_0_0_0_0_0_0_0_0_0_0_0_0" vbProcedure="false">Agenda!$A$1:$H$48</definedName>
    <definedName function="false" hidden="false" localSheetId="1" name="Print_Area_0_0_0_0_0_0_0_0_0_0_0_0_0_0_0_0" vbProcedure="false">Agenda!$A$1:$H$48</definedName>
    <definedName function="false" hidden="false" localSheetId="1" name="Print_Area_0_0_0_0_0_0_0_0_0_0_0_0_0_0_0_0_0" vbProcedure="false">Agenda!$A$1:$H$48</definedName>
    <definedName function="false" hidden="false" localSheetId="1" name="_xlnm.Print_Area" vbProcedure="false">Agenda!$A$1:$H$48</definedName>
    <definedName function="false" hidden="false" localSheetId="1" name="_xlnm.Print_Area_0" vbProcedure="false">Agenda!$A$1:$H$48</definedName>
    <definedName function="false" hidden="false" localSheetId="1" name="_xlnm.Print_Area_0_0" vbProcedure="false">Agenda!$A$1:$H$48</definedName>
    <definedName function="false" hidden="false" localSheetId="1" name="_xlnm.Print_Area_0_0_0" vbProcedure="false">Agenda!$A$1:$H$48</definedName>
    <definedName function="false" hidden="false" localSheetId="1" name="_xlnm.Print_Area_0_0_0_0" vbProcedure="false">Agenda!$A$1:$H$48</definedName>
    <definedName function="false" hidden="false" localSheetId="1" name="_xlnm.Print_Area_0_0_0_0_0" vbProcedure="false">Agenda!$A$1:$H$48</definedName>
    <definedName function="false" hidden="false" localSheetId="1" name="_xlnm.Print_Area_0_0_0_0_0_0" vbProcedure="false">Agenda!$A$1:$H$48</definedName>
    <definedName function="false" hidden="false" localSheetId="1" name="_xlnm.Print_Area_0_0_0_0_0_0_0" vbProcedure="false">Agenda!$A$1:$H$48</definedName>
    <definedName function="false" hidden="false" localSheetId="2" name="Excel_BuiltIn_Print_Area" vbProcedure="false">Roster!$A$2:$G$162</definedName>
    <definedName function="false" hidden="false" localSheetId="2" name="Print_Area_0" vbProcedure="false">Roster!$B$114:$G$169</definedName>
    <definedName function="false" hidden="false" localSheetId="2" name="Print_Area_0_0" vbProcedure="false">Roster!$A$135:$G$183</definedName>
    <definedName function="false" hidden="false" localSheetId="2" name="Print_Area_0_0_0" vbProcedure="false">Roster!$B$114:$G$169</definedName>
    <definedName function="false" hidden="false" localSheetId="2" name="Print_Area_0_0_0_0" vbProcedure="false">Roster!$A$114:$G$169</definedName>
    <definedName function="false" hidden="false" localSheetId="2" name="Print_Area_0_0_0_0_0" vbProcedure="false">Roster!$B$114:$G$169</definedName>
    <definedName function="false" hidden="false" localSheetId="2" name="Print_Area_0_0_0_0_0_0" vbProcedure="false">Roster!$A$114:$G$169</definedName>
    <definedName function="false" hidden="false" localSheetId="2" name="Print_Area_0_0_0_0_0_0_0" vbProcedure="false">Roster!$B$114:$G$169</definedName>
    <definedName function="false" hidden="false" localSheetId="2" name="Print_Area_0_0_0_0_0_0_0_0" vbProcedure="false">Roster!$A$114:$G$169</definedName>
    <definedName function="false" hidden="false" localSheetId="2" name="Print_Area_0_0_0_0_0_0_0_0_0" vbProcedure="false">Roster!$B$114:$G$169</definedName>
    <definedName function="false" hidden="false" localSheetId="2" name="Print_Area_0_0_0_0_0_0_0_0_0_0" vbProcedure="false">Roster!$A$58:$G$169</definedName>
    <definedName function="false" hidden="false" localSheetId="2" name="Print_Area_0_0_0_0_0_0_0_0_0_0_0" vbProcedure="false">Roster!$A$44:$G$183</definedName>
    <definedName function="false" hidden="false" localSheetId="2" name="Print_Area_0_0_0_0_0_0_0_0_0_0_0_0" vbProcedure="false">Roster!$A$58:$G$169</definedName>
    <definedName function="false" hidden="false" localSheetId="2" name="Print_Area_0_0_0_0_0_0_0_0_0_0_0_0_0" vbProcedure="false">Roster!$A$44:$G$183</definedName>
    <definedName function="false" hidden="false" localSheetId="2" name="Print_Area_0_0_0_0_0_0_0_0_0_0_0_0_0_0" vbProcedure="false">Roster!$A$58:$G$169</definedName>
    <definedName function="false" hidden="false" localSheetId="2" name="Print_Area_0_0_0_0_0_0_0_0_0_0_0_0_0_0_0" vbProcedure="false">Roster!$A$44:$G$183</definedName>
    <definedName function="false" hidden="false" localSheetId="2" name="Print_Area_0_0_0_0_0_0_0_0_0_0_0_0_0_0_0_0" vbProcedure="false">Roster!$A$58:$G$169</definedName>
    <definedName function="false" hidden="false" localSheetId="2" name="Print_Area_0_0_0_0_0_0_0_0_0_0_0_0_0_0_0_0_0" vbProcedure="false">Roster!$A$44:$G$183</definedName>
    <definedName function="false" hidden="false" localSheetId="2" name="_xlnm.Print_Area" vbProcedure="false">Roster!$A$1:$G$190</definedName>
    <definedName function="false" hidden="false" localSheetId="2" name="_xlnm.Print_Area_0" vbProcedure="false">Roster!$A$1:$G$189</definedName>
    <definedName function="false" hidden="false" localSheetId="2" name="_xlnm.Print_Area_0_0" vbProcedure="false">Roster!$A$1:$F$169</definedName>
    <definedName function="false" hidden="false" localSheetId="2" name="_xlnm.Print_Area_0_0_0" vbProcedure="false">Roster!$A$92:$G$190</definedName>
    <definedName function="false" hidden="false" localSheetId="2" name="_xlnm.Print_Area_0_0_0_0" vbProcedure="false">Roster!$A$92:$G$190</definedName>
    <definedName function="false" hidden="false" localSheetId="2" name="_xlnm.Print_Area_0_0_0_0_0" vbProcedure="false">Roster!$A$92:$G$190</definedName>
    <definedName function="false" hidden="false" localSheetId="2" name="_xlnm.Print_Area_0_0_0_0_0_0" vbProcedure="false">Roster!$A$92:$G$190</definedName>
    <definedName function="false" hidden="false" localSheetId="2" name="_xlnm.Print_Area_0_0_0_0_0_0_0" vbProcedure="false">Roster!$A$92:$G$190</definedName>
    <definedName function="false" hidden="false" localSheetId="2" name="_xlnm.Print_Titles" vbProcedure="false">Roster!$1:$1</definedName>
    <definedName function="false" hidden="false" localSheetId="2" name="_xlnm.Print_Titles_0" vbProcedure="false">Roster!$1:$1</definedName>
    <definedName function="false" hidden="false" localSheetId="2" name="_xlnm.Print_Titles_0_0" vbProcedure="false">Roster!$1:$1</definedName>
    <definedName function="false" hidden="false" localSheetId="2" name="_xlnm.Print_Titles_0_0_0" vbProcedure="false">roster!#ref!</definedName>
    <definedName function="false" hidden="false" localSheetId="2" name="_xlnm.Print_Titles_0_0_0_0" vbProcedure="false">roster!#ref!</definedName>
    <definedName function="false" hidden="false" localSheetId="2" name="_xlnm.Print_Titles_0_0_0_0_0" vbProcedure="false">roster!#ref!</definedName>
    <definedName function="false" hidden="false" localSheetId="2" name="_xlnm.Print_Titles_0_0_0_0_0_0" vbProcedure="false">roster!#ref!</definedName>
    <definedName function="false" hidden="false" localSheetId="2" name="_xlnm.Print_Titles_0_0_0_0_0_0_0" vbProcedure="false">roster!#ref!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<sst xmlns="http://schemas.openxmlformats.org/spreadsheetml/2006/main" count="1044" uniqueCount="335">
  <si>
    <t>Special needs</t>
  </si>
  <si>
    <t>No minutes, no chair</t>
  </si>
  <si>
    <t>No minutes</t>
  </si>
  <si>
    <t>No duties</t>
  </si>
  <si>
    <t>No Speeches</t>
  </si>
  <si>
    <t>Meeting</t>
  </si>
  <si>
    <t>Date</t>
  </si>
  <si>
    <t>Terry Anderson</t>
  </si>
  <si>
    <t>Doug Aylen</t>
  </si>
  <si>
    <t>Kym Beverley</t>
  </si>
  <si>
    <t>Russell Cutting</t>
  </si>
  <si>
    <t>Arthur Daw</t>
  </si>
  <si>
    <t>Norm Duncan</t>
  </si>
  <si>
    <t>Barry Dwyer</t>
  </si>
  <si>
    <t>Swee Goh</t>
  </si>
  <si>
    <t>Terry Grant</t>
  </si>
  <si>
    <t>Barry Grear</t>
  </si>
  <si>
    <t>Geoff Holden</t>
  </si>
  <si>
    <t>Young-Il Kim</t>
  </si>
  <si>
    <t>Alistair Knight</t>
  </si>
  <si>
    <t>David Knight</t>
  </si>
  <si>
    <t>Martin Lambert</t>
  </si>
  <si>
    <t>Peter Martindale</t>
  </si>
  <si>
    <t>Ed McAlister</t>
  </si>
  <si>
    <t>David Phillips</t>
  </si>
  <si>
    <t>Rolf Prager</t>
  </si>
  <si>
    <t>Viv Samuel</t>
  </si>
  <si>
    <t>Richard Smith</t>
  </si>
  <si>
    <t>Bill Stacy</t>
  </si>
  <si>
    <t>Jim Stewart</t>
  </si>
  <si>
    <t>Don Stuart</t>
  </si>
  <si>
    <t>Mark Williams</t>
  </si>
  <si>
    <t>Chao-Shui Xu</t>
  </si>
  <si>
    <t>Volunteer</t>
  </si>
  <si>
    <t>TBA</t>
  </si>
  <si>
    <t>No Critic</t>
  </si>
  <si>
    <t>No Chair</t>
  </si>
  <si>
    <t>No Minutes</t>
  </si>
  <si>
    <t>No Welcome</t>
  </si>
  <si>
    <t>No Speaker</t>
  </si>
  <si>
    <t>Speeches</t>
  </si>
  <si>
    <t>Time 1</t>
  </si>
  <si>
    <t>Time 2</t>
  </si>
  <si>
    <t>Time 3</t>
  </si>
  <si>
    <t>Time 4</t>
  </si>
  <si>
    <t>Time 5</t>
  </si>
  <si>
    <t>Time 6</t>
  </si>
  <si>
    <t>Time+Speeches</t>
  </si>
  <si>
    <t>Type</t>
  </si>
  <si>
    <t>Theme</t>
  </si>
  <si>
    <t>Speech 1</t>
  </si>
  <si>
    <t>Speech 2</t>
  </si>
  <si>
    <t>Speech 3</t>
  </si>
  <si>
    <t>Speech 4</t>
  </si>
  <si>
    <t>Speech 5</t>
  </si>
  <si>
    <t>Speech 6</t>
  </si>
  <si>
    <t>a</t>
  </si>
  <si>
    <t>n</t>
  </si>
  <si>
    <t>W</t>
  </si>
  <si>
    <t>s</t>
  </si>
  <si>
    <t>M</t>
  </si>
  <si>
    <t>C</t>
  </si>
  <si>
    <t>p</t>
  </si>
  <si>
    <t>X</t>
  </si>
  <si>
    <t>T</t>
  </si>
  <si>
    <t>P</t>
  </si>
  <si>
    <t>N</t>
  </si>
  <si>
    <t>The Oceans</t>
  </si>
  <si>
    <t>Sharks</t>
  </si>
  <si>
    <t>Whales</t>
  </si>
  <si>
    <t>Pollution</t>
  </si>
  <si>
    <t>H</t>
  </si>
  <si>
    <t>Is it worth a visit?</t>
  </si>
  <si>
    <t>South America</t>
  </si>
  <si>
    <t>Indonesia</t>
  </si>
  <si>
    <t>Middle East</t>
  </si>
  <si>
    <t>Russia</t>
  </si>
  <si>
    <t>Natural Hazards</t>
  </si>
  <si>
    <t>Spiders</t>
  </si>
  <si>
    <t>Bushfires</t>
  </si>
  <si>
    <t>Cyclones</t>
  </si>
  <si>
    <t>Snakes</t>
  </si>
  <si>
    <t>Win</t>
  </si>
  <si>
    <t>Winning Ways</t>
  </si>
  <si>
    <t>A Win-Win Situation</t>
  </si>
  <si>
    <t>Winning over</t>
  </si>
  <si>
    <t>Winning One's Spurs</t>
  </si>
  <si>
    <t>Tie</t>
  </si>
  <si>
    <t>Old School Tie</t>
  </si>
  <si>
    <t>Family Ties</t>
  </si>
  <si>
    <t>Fit to be Tied</t>
  </si>
  <si>
    <t>Tie-ins</t>
  </si>
  <si>
    <t>Stumps</t>
  </si>
  <si>
    <t>Completely Stumped</t>
  </si>
  <si>
    <t>Tree Stump</t>
  </si>
  <si>
    <t>Beyond the Black Stump</t>
  </si>
  <si>
    <t>Balls</t>
  </si>
  <si>
    <t>A Lot of Balls</t>
  </si>
  <si>
    <t>Ball and Chain</t>
  </si>
  <si>
    <t>Keep the Ball Rolling</t>
  </si>
  <si>
    <t>After the Ball</t>
  </si>
  <si>
    <t>Over</t>
  </si>
  <si>
    <t>Over the Top</t>
  </si>
  <si>
    <t>Over the Counter</t>
  </si>
  <si>
    <t>Over the Hill</t>
  </si>
  <si>
    <t>Over the Moon</t>
  </si>
  <si>
    <t>Runs</t>
  </si>
  <si>
    <t>Run Down</t>
  </si>
  <si>
    <t>Running Mate</t>
  </si>
  <si>
    <t>Running Repairs</t>
  </si>
  <si>
    <t>Running Water</t>
  </si>
  <si>
    <t>Boundaries</t>
  </si>
  <si>
    <t>Boundary Rider</t>
  </si>
  <si>
    <t>Boundary Layer</t>
  </si>
  <si>
    <t>Permian-Triassic Boundary</t>
  </si>
  <si>
    <t>Point</t>
  </si>
  <si>
    <t>Point of no Return</t>
  </si>
  <si>
    <t>Point of Order</t>
  </si>
  <si>
    <t>Not to put too fine a point on it</t>
  </si>
  <si>
    <t>Slips</t>
  </si>
  <si>
    <t>Slipstream</t>
  </si>
  <si>
    <t>Slipshod</t>
  </si>
  <si>
    <t>Give the Slip</t>
  </si>
  <si>
    <t>Slip of the Tongue</t>
  </si>
  <si>
    <t>Deep</t>
  </si>
  <si>
    <t>Deep-Sea</t>
  </si>
  <si>
    <t>Deep Space</t>
  </si>
  <si>
    <t>Deep-Fried</t>
  </si>
  <si>
    <t>Deep Vein Thrombosis</t>
  </si>
  <si>
    <t>F</t>
  </si>
  <si>
    <t>Wilde Statements</t>
  </si>
  <si>
    <t>He hadn't a single redeeming vice.</t>
  </si>
  <si>
    <t>Acting is much more real than real life.</t>
  </si>
  <si>
    <t>A true friend stabs you in the front.</t>
  </si>
  <si>
    <t>I can resist everything except temptation.</t>
  </si>
  <si>
    <t>Square</t>
  </si>
  <si>
    <t>Square Peg</t>
  </si>
  <si>
    <t>Square Deal</t>
  </si>
  <si>
    <t>On the Square</t>
  </si>
  <si>
    <t>Squaring the Circle</t>
  </si>
  <si>
    <t>Bail</t>
  </si>
  <si>
    <t>Bail Out</t>
  </si>
  <si>
    <t>Bail Up</t>
  </si>
  <si>
    <t>Give Leg Bail</t>
  </si>
  <si>
    <t>Perplexing Partners 1</t>
  </si>
  <si>
    <t>Never look a Gift Horse in the Mouth</t>
  </si>
  <si>
    <t>Beware of Greeks bringing Gifts</t>
  </si>
  <si>
    <t>Many Hands Make Light Work</t>
  </si>
  <si>
    <t>Too Many Cooks Spoil the Broth</t>
  </si>
  <si>
    <t>Two Heads are Better than One</t>
  </si>
  <si>
    <t>Two of a Trade Never Agree</t>
  </si>
  <si>
    <t>French</t>
  </si>
  <si>
    <t>Chacun à son goût</t>
  </si>
  <si>
    <t>Faute de mieux</t>
  </si>
  <si>
    <t>Noblesse oblige</t>
  </si>
  <si>
    <t>Raison d'être</t>
  </si>
  <si>
    <t>B</t>
  </si>
  <si>
    <t>Perplexing Partners 2</t>
  </si>
  <si>
    <t>With Age Cometh Wisdom</t>
  </si>
  <si>
    <t>No Fool like an Old Fool</t>
  </si>
  <si>
    <t>Tomorrow's Another Day</t>
  </si>
  <si>
    <t>Tomorrow Never Comes</t>
  </si>
  <si>
    <t>Great Minds Think Alike</t>
  </si>
  <si>
    <t>Idiots Seldom Differ</t>
  </si>
  <si>
    <t>Commonplace Latin</t>
  </si>
  <si>
    <t>Alter Ego</t>
  </si>
  <si>
    <t>Mens Sana in Corpore Sano</t>
  </si>
  <si>
    <t>Quis Custodiet Ipsos Custodies?</t>
  </si>
  <si>
    <t>Perplexing Partners 3</t>
  </si>
  <si>
    <t>Absence Makes the Heart Grow Fonder</t>
  </si>
  <si>
    <t>Out of Sight, Out of Mind</t>
  </si>
  <si>
    <t>Never Judge a Book by its Cover</t>
  </si>
  <si>
    <t>First Impressions are usually Correct</t>
  </si>
  <si>
    <t>You're Never too Old to Learn</t>
  </si>
  <si>
    <t>You Can't Teach an Old Dog New Tricks</t>
  </si>
  <si>
    <t>Bats</t>
  </si>
  <si>
    <t>Bats in the Belfry</t>
  </si>
  <si>
    <t>Bat out of Hell</t>
  </si>
  <si>
    <t>Don't Bat an Eye</t>
  </si>
  <si>
    <t>Blind as a Bat</t>
  </si>
  <si>
    <t>Silly</t>
  </si>
  <si>
    <t>Silly Season</t>
  </si>
  <si>
    <t>Silly Money</t>
  </si>
  <si>
    <t>Silicon</t>
  </si>
  <si>
    <t>Christmas Gifts</t>
  </si>
  <si>
    <t>What I wanted for Christmas</t>
  </si>
  <si>
    <t>What I didn't want for Christmas</t>
  </si>
  <si>
    <t>Gifts are for giving, not receiving</t>
  </si>
  <si>
    <t>In</t>
  </si>
  <si>
    <t>In the Pink</t>
  </si>
  <si>
    <t>In the Swim</t>
  </si>
  <si>
    <t>In the Club</t>
  </si>
  <si>
    <t>In For It</t>
  </si>
  <si>
    <t>In-Jokes</t>
  </si>
  <si>
    <t>Out</t>
  </si>
  <si>
    <t>Out of the Way</t>
  </si>
  <si>
    <t>Out and About</t>
  </si>
  <si>
    <t>Out of Character</t>
  </si>
  <si>
    <t>Out of This World</t>
  </si>
  <si>
    <t>Chairs=1?</t>
  </si>
  <si>
    <t>Title</t>
  </si>
  <si>
    <t>Explanation</t>
  </si>
  <si>
    <t>Other Business 1</t>
  </si>
  <si>
    <t>Other Business 2</t>
  </si>
  <si>
    <t>Minutes=1?</t>
  </si>
  <si>
    <t>Family Day</t>
  </si>
  <si>
    <t>Suitable topics, please.</t>
  </si>
  <si>
    <t>Welcomes=1?</t>
  </si>
  <si>
    <t>Duty</t>
  </si>
  <si>
    <t>Code</t>
  </si>
  <si>
    <t>Christmas Lunch</t>
  </si>
  <si>
    <t>Leave time for …</t>
  </si>
  <si>
    <t>Corrupted Carols</t>
  </si>
  <si>
    <t>Visit from Santa</t>
  </si>
  <si>
    <t>Critic</t>
  </si>
  <si>
    <t>Business Meeting</t>
  </si>
  <si>
    <t>Election of Officers</t>
  </si>
  <si>
    <t>Chair</t>
  </si>
  <si>
    <t>Normal Meeting</t>
  </si>
  <si>
    <t>3 to 6 speeches</t>
  </si>
  <si>
    <t>Target</t>
  </si>
  <si>
    <t>Minutes</t>
  </si>
  <si>
    <t>D</t>
  </si>
  <si>
    <t>Debate</t>
  </si>
  <si>
    <t>Proposer, opposer, and open discussion</t>
  </si>
  <si>
    <t>Variance</t>
  </si>
  <si>
    <t>Welcome</t>
  </si>
  <si>
    <t>Handover Day</t>
  </si>
  <si>
    <t>Hand Over Duties</t>
  </si>
  <si>
    <t>Speakers</t>
  </si>
  <si>
    <t>1-6</t>
  </si>
  <si>
    <t>Membership Ballot</t>
  </si>
  <si>
    <t>President</t>
  </si>
  <si>
    <t>Unavailable</t>
  </si>
  <si>
    <t>I</t>
  </si>
  <si>
    <t>Induction of new member(s)</t>
  </si>
  <si>
    <t>Secretary</t>
  </si>
  <si>
    <t>Fifth Friday Frolic</t>
  </si>
  <si>
    <t>Treasurer</t>
  </si>
  <si>
    <t>t</t>
  </si>
  <si>
    <t>S</t>
  </si>
  <si>
    <t>Not Really the Business Meeeting</t>
  </si>
  <si>
    <t>others</t>
  </si>
  <si>
    <t>Z</t>
  </si>
  <si>
    <t>Terrorism</t>
  </si>
  <si>
    <t>Terrorist Groups</t>
  </si>
  <si>
    <t>State Sponsored</t>
  </si>
  <si>
    <t>War on Terror</t>
  </si>
  <si>
    <t>Home Grown</t>
  </si>
  <si>
    <t>Brazil Uruguay</t>
  </si>
  <si>
    <t>Argentina</t>
  </si>
  <si>
    <t>Ecuador</t>
  </si>
  <si>
    <t>Civilizations</t>
  </si>
  <si>
    <t>Incas</t>
  </si>
  <si>
    <t>Egyptians</t>
  </si>
  <si>
    <t>Aboriginals</t>
  </si>
  <si>
    <t>Pacific Islanders</t>
  </si>
  <si>
    <t>7 Natural Wonders</t>
  </si>
  <si>
    <t>Victoria Falls</t>
  </si>
  <si>
    <t>Mount Everest</t>
  </si>
  <si>
    <t>The Grand Canyon</t>
  </si>
  <si>
    <t>Northern Lights</t>
  </si>
  <si>
    <t>The Harbor at Rio de Janeiro, The Great Barrier Reef, Paricutin: The Volcano in a Cornfield</t>
  </si>
  <si>
    <t>Great Barrier Reef, Paricutin: The Volcano in a Cornfield</t>
  </si>
  <si>
    <t>Paricutin: The Volcano in a Cornfield</t>
  </si>
  <si>
    <t>Wine</t>
  </si>
  <si>
    <t>Estate Planning</t>
  </si>
  <si>
    <t>Adelaide</t>
  </si>
  <si>
    <t>Wonders of the underwater world</t>
  </si>
  <si>
    <t>Great Barrier Reef</t>
  </si>
  <si>
    <t>Galapagos Islands</t>
  </si>
  <si>
    <t>Mariner Tench</t>
  </si>
  <si>
    <t>MotorSport</t>
  </si>
  <si>
    <t>Speaker's choice</t>
  </si>
  <si>
    <t>Wonders of the World</t>
  </si>
  <si>
    <t>Great Pyramid of Giza</t>
  </si>
  <si>
    <t>Colossus of Rhodes</t>
  </si>
  <si>
    <t>Lighthouse of Alexandria</t>
  </si>
  <si>
    <t>Hanging Gardens of Babylon</t>
  </si>
  <si>
    <t>Architectural Styles</t>
  </si>
  <si>
    <t>Ancient</t>
  </si>
  <si>
    <t>Medieval</t>
  </si>
  <si>
    <t>Renaissance</t>
  </si>
  <si>
    <t>Future</t>
  </si>
  <si>
    <t>Meeting No.</t>
  </si>
  <si>
    <t>Chairman: </t>
  </si>
  <si>
    <t>Minutes: </t>
  </si>
  <si>
    <t>1.00 PM</t>
  </si>
  <si>
    <t>Open Meeting</t>
  </si>
  <si>
    <t>Apologies: </t>
  </si>
  <si>
    <t>Introduction of visitors: </t>
  </si>
  <si>
    <t>Welcome: </t>
  </si>
  <si>
    <t>Fellowship: </t>
  </si>
  <si>
    <t>(5 minutes)</t>
  </si>
  <si>
    <t>1.10 PM</t>
  </si>
  <si>
    <t>Formal Business</t>
  </si>
  <si>
    <t>Previous Minutes: </t>
  </si>
  <si>
    <t>Business arising: </t>
  </si>
  <si>
    <t>Correspondence: </t>
  </si>
  <si>
    <t>Announcements: </t>
  </si>
  <si>
    <t>Program Director</t>
  </si>
  <si>
    <t>Dais representatives</t>
  </si>
  <si>
    <t>Others</t>
  </si>
  <si>
    <t>Other business: </t>
  </si>
  <si>
    <t>Mins</t>
  </si>
  <si>
    <t>Speaker</t>
  </si>
  <si>
    <t>Critic:</t>
  </si>
  <si>
    <t>Chairman:</t>
  </si>
  <si>
    <t>Minutes:</t>
  </si>
  <si>
    <t>Welcome:</t>
  </si>
  <si>
    <t>1.45 PM</t>
  </si>
  <si>
    <t>1.55 PM</t>
  </si>
  <si>
    <t>Meeting statistics</t>
  </si>
  <si>
    <t>Reminders</t>
  </si>
  <si>
    <t>Stories</t>
  </si>
  <si>
    <t>2.00 PM</t>
  </si>
  <si>
    <t>Close Meeting</t>
  </si>
  <si>
    <t>Rostrum Club 3 Speech Programme, July-December 2015 (barry.dwyer@me.com, 0400 285 260)</t>
  </si>
  <si>
    <t>Chair:</t>
  </si>
  <si>
    <t>Chairman</t>
  </si>
  <si>
    <t>Previous</t>
  </si>
  <si>
    <t>Start</t>
  </si>
  <si>
    <t>Speaker 1</t>
  </si>
  <si>
    <t>T1</t>
  </si>
  <si>
    <t>Speaker 2</t>
  </si>
  <si>
    <t>T2</t>
  </si>
  <si>
    <t>Speaker 3</t>
  </si>
  <si>
    <t>T3</t>
  </si>
  <si>
    <t>Speaker 4</t>
  </si>
  <si>
    <t>T4</t>
  </si>
  <si>
    <t>Speaker 5</t>
  </si>
  <si>
    <t>T5</t>
  </si>
  <si>
    <t>Speaker 6</t>
  </si>
  <si>
    <t>T6</t>
  </si>
  <si>
    <t>=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</si>
</sst>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#,##0"/>
    <numFmt numFmtId="166" formatCode="D\-MMM\-YY"/>
    <numFmt numFmtId="167" formatCode="@"/>
    <numFmt numFmtId="168" formatCode="0"/>
    <numFmt numFmtId="169" formatCode="DD/MM/YY"/>
    <numFmt numFmtId="170" formatCode="MMMM\ D&quot;, &quot;YYYY"/>
    <numFmt numFmtId="171" formatCode="H:MM\ AM/PM"/>
    <numFmt numFmtId="172" formatCode="D\ MMM\ YY"/>
    <numFmt numFmtId="173" formatCode="D\ MMM\ YYYY"/>
    <numFmt numFmtId="174" formatCode="D\-MMM\-YYYY"/>
    <numFmt numFmtId="175" formatCode="HH:MM\ AM/PM"/>
  </numFmts>
  <fonts count="17">
    <font>
      <sz val="12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Palatino"/>
      <family val="1"/>
      <charset val="1"/>
    </font>
    <font>
      <b val="true"/>
      <sz val="10"/>
      <color rgb="FF000000"/>
      <name val="Palatino"/>
      <family val="1"/>
      <charset val="1"/>
    </font>
    <font>
      <sz val="12"/>
      <color rgb="FF000000"/>
      <name val="Palatino"/>
      <family val="1"/>
      <charset val="1"/>
    </font>
    <font>
      <b val="true"/>
      <i val="true"/>
      <sz val="10"/>
      <color rgb="FF000000"/>
      <name val="Palatino"/>
      <family val="1"/>
      <charset val="1"/>
    </font>
    <font>
      <i val="true"/>
      <sz val="10"/>
      <color rgb="FF000000"/>
      <name val="Palatino"/>
      <family val="1"/>
      <charset val="1"/>
    </font>
    <font>
      <i val="true"/>
      <sz val="12"/>
      <color rgb="FF000000"/>
      <name val="Palatino"/>
      <family val="1"/>
      <charset val="1"/>
    </font>
    <font>
      <i val="true"/>
      <sz val="12"/>
      <color rgb="FF000000"/>
      <name val="Verdana"/>
      <family val="2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i val="true"/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Verdana"/>
      <family val="2"/>
      <charset val="1"/>
    </font>
    <font>
      <b val="true"/>
      <i val="true"/>
      <sz val="12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CCFF99"/>
        <bgColor rgb="FFFFFF9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2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8" fillId="2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8" fillId="3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8" fillId="4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9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9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5" fillId="2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5" fillId="3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7" fontId="5" fillId="4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1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false" applyProtection="true">
      <alignment horizontal="general" vertical="top" textRotation="0" wrapText="false" indent="0" shrinkToFit="false"/>
      <protection locked="true" hidden="false"/>
    </xf>
    <xf numFmtId="171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3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true">
      <alignment horizontal="general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3" fontId="13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top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9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barry.dwyer@me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1:61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pane xSplit="2" ySplit="3" topLeftCell="H4" activePane="bottomRight" state="frozen"/>
      <selection pane="topLeft" activeCell="A1" activeCellId="0" sqref="A1"/>
      <selection pane="topRight" activeCell="H1" activeCellId="0" sqref="H1"/>
      <selection pane="bottomLeft" activeCell="A4" activeCellId="0" sqref="A4"/>
      <selection pane="bottomRight" activeCell="M1" activeCellId="0" sqref="M1"/>
    </sheetView>
  </sheetViews>
  <sheetFormatPr defaultRowHeight="15"/>
  <cols>
    <col collapsed="false" hidden="false" max="1" min="1" style="1" width="5.44814814814815"/>
    <col collapsed="false" hidden="false" max="2" min="2" style="1" width="8.42592592592593"/>
    <col collapsed="false" hidden="false" max="6" min="3" style="1" width="2.37037037037037"/>
    <col collapsed="false" hidden="false" max="8" min="7" style="2" width="2.37037037037037"/>
    <col collapsed="false" hidden="false" max="12" min="9" style="1" width="2.37037037037037"/>
    <col collapsed="false" hidden="false" max="13" min="13" style="2" width="2.37037037037037"/>
    <col collapsed="false" hidden="false" max="21" min="14" style="1" width="2.37037037037037"/>
    <col collapsed="false" hidden="false" max="23" min="22" style="2" width="2.37037037037037"/>
    <col collapsed="false" hidden="false" max="34" min="24" style="1" width="2.37037037037037"/>
    <col collapsed="false" hidden="true" max="46" min="35" style="1" width="0"/>
    <col collapsed="false" hidden="false" max="51" min="47" style="1" width="2.37037037037037"/>
    <col collapsed="false" hidden="false" max="52" min="52" style="1" width="2.97777777777778"/>
    <col collapsed="false" hidden="false" max="60" min="53" style="1" width="2.37037037037037"/>
    <col collapsed="false" hidden="false" max="61" min="61" style="3" width="13.6481481481482"/>
    <col collapsed="false" hidden="false" max="62" min="62" style="4" width="21.4333333333333"/>
    <col collapsed="false" hidden="false" max="63" min="63" style="4" width="20.0888888888889"/>
    <col collapsed="false" hidden="false" max="64" min="64" style="4" width="21.4333333333333"/>
    <col collapsed="false" hidden="false" max="65" min="65" style="4" width="21.4037037037037"/>
    <col collapsed="false" hidden="false" max="66" min="66" style="4" width="16.7888888888889"/>
    <col collapsed="false" hidden="false" max="67" min="67" style="4" width="21.5962962962963"/>
    <col collapsed="false" hidden="false" max="1020" min="68" style="4" width="8.36296296296296"/>
    <col collapsed="false" hidden="false" max="1021" min="1021" style="5" width="8.36296296296296"/>
    <col collapsed="false" hidden="false" max="1025" min="1022" style="0" width="8.36296296296296"/>
  </cols>
  <sheetData>
    <row r="1" s="15" customFormat="true" ht="22.4" hidden="false" customHeight="true" outlineLevel="0" collapsed="false">
      <c r="A1" s="6"/>
      <c r="B1" s="7" t="s">
        <v>0</v>
      </c>
      <c r="C1" s="8"/>
      <c r="D1" s="8"/>
      <c r="E1" s="8"/>
      <c r="F1" s="8"/>
      <c r="G1" s="9" t="s">
        <v>1</v>
      </c>
      <c r="H1" s="9" t="s">
        <v>2</v>
      </c>
      <c r="I1" s="8"/>
      <c r="J1" s="8"/>
      <c r="K1" s="8" t="s">
        <v>3</v>
      </c>
      <c r="L1" s="8"/>
      <c r="M1" s="10" t="s">
        <v>4</v>
      </c>
      <c r="N1" s="8"/>
      <c r="O1" s="8"/>
      <c r="P1" s="8"/>
      <c r="Q1" s="8"/>
      <c r="R1" s="8"/>
      <c r="S1" s="8"/>
      <c r="T1" s="8"/>
      <c r="U1" s="8"/>
      <c r="V1" s="11"/>
      <c r="W1" s="12"/>
      <c r="X1" s="8"/>
      <c r="Y1" s="8"/>
      <c r="Z1" s="13"/>
      <c r="AA1" s="13"/>
      <c r="AB1" s="8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4"/>
      <c r="BJ1" s="14"/>
      <c r="BK1" s="14"/>
      <c r="BL1" s="14"/>
      <c r="BM1" s="14"/>
      <c r="BN1" s="14"/>
      <c r="BO1" s="14"/>
      <c r="BP1" s="14"/>
      <c r="AMG1" s="16"/>
      <c r="AMH1" s="17"/>
      <c r="AMI1" s="17"/>
      <c r="AMJ1" s="0"/>
    </row>
    <row r="2" customFormat="false" ht="70.5" hidden="false" customHeight="true" outlineLevel="0" collapsed="false">
      <c r="A2" s="18" t="s">
        <v>5</v>
      </c>
      <c r="B2" s="19" t="s">
        <v>6</v>
      </c>
      <c r="C2" s="20" t="s">
        <v>7</v>
      </c>
      <c r="D2" s="20" t="s">
        <v>8</v>
      </c>
      <c r="E2" s="20" t="s">
        <v>9</v>
      </c>
      <c r="F2" s="20" t="s">
        <v>10</v>
      </c>
      <c r="G2" s="21" t="s">
        <v>11</v>
      </c>
      <c r="H2" s="21" t="s">
        <v>12</v>
      </c>
      <c r="I2" s="20" t="s">
        <v>13</v>
      </c>
      <c r="J2" s="20" t="s">
        <v>14</v>
      </c>
      <c r="K2" s="20" t="s">
        <v>15</v>
      </c>
      <c r="L2" s="20" t="s">
        <v>16</v>
      </c>
      <c r="M2" s="22" t="s">
        <v>17</v>
      </c>
      <c r="N2" s="20" t="s">
        <v>18</v>
      </c>
      <c r="O2" s="20" t="s">
        <v>19</v>
      </c>
      <c r="P2" s="20" t="s">
        <v>20</v>
      </c>
      <c r="Q2" s="20" t="s">
        <v>21</v>
      </c>
      <c r="R2" s="20" t="s">
        <v>22</v>
      </c>
      <c r="S2" s="20" t="s">
        <v>23</v>
      </c>
      <c r="T2" s="20" t="s">
        <v>24</v>
      </c>
      <c r="U2" s="20" t="s">
        <v>25</v>
      </c>
      <c r="V2" s="23" t="s">
        <v>26</v>
      </c>
      <c r="W2" s="24" t="s">
        <v>27</v>
      </c>
      <c r="X2" s="20" t="s">
        <v>28</v>
      </c>
      <c r="Y2" s="20" t="s">
        <v>29</v>
      </c>
      <c r="Z2" s="25" t="s">
        <v>30</v>
      </c>
      <c r="AA2" s="25" t="s">
        <v>31</v>
      </c>
      <c r="AB2" s="20" t="s">
        <v>32</v>
      </c>
      <c r="AC2" s="25" t="s">
        <v>33</v>
      </c>
      <c r="AD2" s="25" t="s">
        <v>33</v>
      </c>
      <c r="AE2" s="25" t="s">
        <v>33</v>
      </c>
      <c r="AF2" s="25" t="s">
        <v>33</v>
      </c>
      <c r="AG2" s="25" t="s">
        <v>33</v>
      </c>
      <c r="AH2" s="25" t="s">
        <v>33</v>
      </c>
      <c r="AI2" s="25" t="s">
        <v>34</v>
      </c>
      <c r="AJ2" s="25" t="s">
        <v>34</v>
      </c>
      <c r="AK2" s="25" t="s">
        <v>34</v>
      </c>
      <c r="AL2" s="25" t="s">
        <v>34</v>
      </c>
      <c r="AM2" s="25" t="s">
        <v>34</v>
      </c>
      <c r="AN2" s="25" t="s">
        <v>34</v>
      </c>
      <c r="AO2" s="25" t="str">
        <f aca="false">" "</f>
        <v> </v>
      </c>
      <c r="AP2" s="25" t="str">
        <f aca="false">" "</f>
        <v> </v>
      </c>
      <c r="AQ2" s="25" t="str">
        <f aca="false">" "</f>
        <v> </v>
      </c>
      <c r="AR2" s="25" t="str">
        <f aca="false">" "</f>
        <v> </v>
      </c>
      <c r="AS2" s="25" t="str">
        <f aca="false">" "</f>
        <v> </v>
      </c>
      <c r="AT2" s="25" t="str">
        <f aca="false">" "</f>
        <v> </v>
      </c>
      <c r="AU2" s="25" t="s">
        <v>35</v>
      </c>
      <c r="AV2" s="25" t="s">
        <v>36</v>
      </c>
      <c r="AW2" s="25" t="s">
        <v>37</v>
      </c>
      <c r="AX2" s="25" t="s">
        <v>38</v>
      </c>
      <c r="AY2" s="25" t="s">
        <v>39</v>
      </c>
      <c r="AZ2" s="25" t="s">
        <v>40</v>
      </c>
      <c r="BA2" s="25" t="s">
        <v>41</v>
      </c>
      <c r="BB2" s="25" t="s">
        <v>42</v>
      </c>
      <c r="BC2" s="25" t="s">
        <v>43</v>
      </c>
      <c r="BD2" s="25" t="s">
        <v>44</v>
      </c>
      <c r="BE2" s="25" t="s">
        <v>45</v>
      </c>
      <c r="BF2" s="25" t="s">
        <v>46</v>
      </c>
      <c r="BG2" s="25" t="s">
        <v>47</v>
      </c>
      <c r="BH2" s="25" t="s">
        <v>48</v>
      </c>
      <c r="BI2" s="26" t="s">
        <v>49</v>
      </c>
      <c r="BJ2" s="26" t="s">
        <v>50</v>
      </c>
      <c r="BK2" s="26" t="s">
        <v>51</v>
      </c>
      <c r="BL2" s="26" t="s">
        <v>52</v>
      </c>
      <c r="BM2" s="26" t="s">
        <v>53</v>
      </c>
      <c r="BN2" s="26" t="s">
        <v>54</v>
      </c>
      <c r="BO2" s="26" t="s">
        <v>55</v>
      </c>
      <c r="BP2" s="26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</row>
    <row r="3" customFormat="false" ht="17.1" hidden="false" customHeight="true" outlineLevel="0" collapsed="false">
      <c r="A3" s="18" t="n">
        <v>3326</v>
      </c>
      <c r="B3" s="19" t="n">
        <v>40719</v>
      </c>
      <c r="C3" s="27"/>
      <c r="D3" s="27" t="s">
        <v>56</v>
      </c>
      <c r="E3" s="27"/>
      <c r="F3" s="27" t="n">
        <v>1</v>
      </c>
      <c r="G3" s="28"/>
      <c r="H3" s="28"/>
      <c r="I3" s="27" t="n">
        <v>2</v>
      </c>
      <c r="J3" s="27" t="s">
        <v>56</v>
      </c>
      <c r="K3" s="27" t="s">
        <v>57</v>
      </c>
      <c r="L3" s="27" t="n">
        <v>3</v>
      </c>
      <c r="M3" s="27" t="s">
        <v>58</v>
      </c>
      <c r="N3" s="27"/>
      <c r="O3" s="27" t="s">
        <v>56</v>
      </c>
      <c r="P3" s="27"/>
      <c r="Q3" s="27"/>
      <c r="R3" s="27" t="s">
        <v>59</v>
      </c>
      <c r="S3" s="27" t="s">
        <v>56</v>
      </c>
      <c r="T3" s="27"/>
      <c r="U3" s="27"/>
      <c r="V3" s="27" t="s">
        <v>60</v>
      </c>
      <c r="W3" s="27" t="s">
        <v>56</v>
      </c>
      <c r="X3" s="27" t="s">
        <v>61</v>
      </c>
      <c r="Y3" s="27" t="s">
        <v>62</v>
      </c>
      <c r="Z3" s="27" t="s">
        <v>63</v>
      </c>
      <c r="AA3" s="27" t="s">
        <v>62</v>
      </c>
      <c r="AB3" s="27" t="s">
        <v>56</v>
      </c>
      <c r="AC3" s="29"/>
      <c r="AD3" s="29"/>
      <c r="AE3" s="29"/>
      <c r="AF3" s="29"/>
      <c r="AG3" s="29"/>
      <c r="AH3" s="29"/>
      <c r="AI3" s="29" t="s">
        <v>61</v>
      </c>
      <c r="AJ3" s="29" t="s">
        <v>60</v>
      </c>
      <c r="AK3" s="29" t="s">
        <v>58</v>
      </c>
      <c r="AL3" s="29" t="s">
        <v>63</v>
      </c>
      <c r="AM3" s="29" t="s">
        <v>64</v>
      </c>
      <c r="AN3" s="29" t="s">
        <v>65</v>
      </c>
      <c r="AO3" s="30" t="n">
        <v>1</v>
      </c>
      <c r="AP3" s="30" t="n">
        <v>2</v>
      </c>
      <c r="AQ3" s="30" t="n">
        <v>3</v>
      </c>
      <c r="AR3" s="30" t="n">
        <v>4</v>
      </c>
      <c r="AS3" s="30" t="n">
        <v>5</v>
      </c>
      <c r="AT3" s="30" t="n">
        <v>6</v>
      </c>
      <c r="AU3" s="29" t="str">
        <f aca="false">IF(COUNTIF($C3:$AH3,"X")=1,"-","X")</f>
        <v>-</v>
      </c>
      <c r="AV3" s="29" t="str">
        <f aca="false">IF(COUNTIF($C3:$AH3,"C")=1,"-","C")</f>
        <v>-</v>
      </c>
      <c r="AW3" s="29" t="str">
        <f aca="false">IF(COUNTIF($C3:$AH3,"M")=1,"-","M")</f>
        <v>-</v>
      </c>
      <c r="AX3" s="29" t="str">
        <f aca="false">IF(COUNTIF($C3:$AH3,"W")=1,"-","W")</f>
        <v>-</v>
      </c>
      <c r="AY3" s="29" t="str">
        <f aca="false">IF((AZ3+1)*AZ3/2=SUMIF(C3:AH3,"&gt;=1"),"-",((AZ3+1)*AZ3/2-SUMIF(C3:AH3,"&gt;=1")))</f>
        <v>-</v>
      </c>
      <c r="AZ3" s="29" t="n">
        <f aca="false">IF(COUNTIF(BA3:BF3,"&gt;0")=COUNTIF(BJ3:BO3,"&gt; "),COUNTIF(BA3:BF3,"&gt;0"),"0")</f>
        <v>3</v>
      </c>
      <c r="BA3" s="27" t="n">
        <v>6</v>
      </c>
      <c r="BB3" s="27" t="n">
        <v>6</v>
      </c>
      <c r="BC3" s="27" t="n">
        <v>6</v>
      </c>
      <c r="BD3" s="27"/>
      <c r="BE3" s="27"/>
      <c r="BF3" s="27"/>
      <c r="BG3" s="29" t="n">
        <f aca="false">IF(SUMIF(BA3:BF3,"&gt;=1",BA3:BF3)+AZ3&gt;25,"X",(SUMIF(BA3:BF3,"&gt;=1",BA3:BF3)+AZ3))</f>
        <v>21</v>
      </c>
      <c r="BH3" s="29" t="s">
        <v>66</v>
      </c>
      <c r="BI3" s="26" t="s">
        <v>67</v>
      </c>
      <c r="BJ3" s="31" t="s">
        <v>68</v>
      </c>
      <c r="BK3" s="31" t="s">
        <v>69</v>
      </c>
      <c r="BL3" s="32" t="s">
        <v>70</v>
      </c>
      <c r="BM3" s="32" t="str">
        <f aca="false">" "</f>
        <v> </v>
      </c>
      <c r="BN3" s="32" t="str">
        <f aca="false">" "</f>
        <v> </v>
      </c>
      <c r="BO3" s="32" t="str">
        <f aca="false">" "</f>
        <v> </v>
      </c>
      <c r="BP3" s="32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</row>
    <row r="4" customFormat="false" ht="17.1" hidden="false" customHeight="true" outlineLevel="0" collapsed="false">
      <c r="A4" s="18" t="n">
        <v>3327</v>
      </c>
      <c r="B4" s="19" t="n">
        <f aca="false">B3+7</f>
        <v>40726</v>
      </c>
      <c r="C4" s="27" t="s">
        <v>59</v>
      </c>
      <c r="D4" s="27" t="s">
        <v>56</v>
      </c>
      <c r="E4" s="27"/>
      <c r="F4" s="27" t="n">
        <v>1</v>
      </c>
      <c r="G4" s="28"/>
      <c r="H4" s="28"/>
      <c r="I4" s="27" t="s">
        <v>60</v>
      </c>
      <c r="J4" s="27" t="s">
        <v>56</v>
      </c>
      <c r="K4" s="27" t="s">
        <v>57</v>
      </c>
      <c r="L4" s="27" t="n">
        <v>3</v>
      </c>
      <c r="M4" s="27" t="s">
        <v>58</v>
      </c>
      <c r="N4" s="27"/>
      <c r="O4" s="27" t="s">
        <v>56</v>
      </c>
      <c r="P4" s="27"/>
      <c r="Q4" s="27"/>
      <c r="R4" s="27" t="s">
        <v>59</v>
      </c>
      <c r="S4" s="27" t="s">
        <v>56</v>
      </c>
      <c r="T4" s="27"/>
      <c r="U4" s="27"/>
      <c r="V4" s="27" t="n">
        <v>2</v>
      </c>
      <c r="W4" s="27" t="s">
        <v>56</v>
      </c>
      <c r="X4" s="27" t="s">
        <v>61</v>
      </c>
      <c r="Y4" s="27" t="s">
        <v>62</v>
      </c>
      <c r="Z4" s="27" t="s">
        <v>63</v>
      </c>
      <c r="AA4" s="27" t="s">
        <v>62</v>
      </c>
      <c r="AB4" s="27" t="s">
        <v>56</v>
      </c>
      <c r="AC4" s="29"/>
      <c r="AD4" s="29"/>
      <c r="AE4" s="29"/>
      <c r="AF4" s="29"/>
      <c r="AG4" s="29"/>
      <c r="AH4" s="29"/>
      <c r="AI4" s="29" t="s">
        <v>61</v>
      </c>
      <c r="AJ4" s="29" t="s">
        <v>60</v>
      </c>
      <c r="AK4" s="29" t="s">
        <v>58</v>
      </c>
      <c r="AL4" s="29" t="s">
        <v>63</v>
      </c>
      <c r="AM4" s="29" t="s">
        <v>64</v>
      </c>
      <c r="AN4" s="29" t="s">
        <v>65</v>
      </c>
      <c r="AO4" s="30" t="n">
        <v>1</v>
      </c>
      <c r="AP4" s="30" t="n">
        <v>2</v>
      </c>
      <c r="AQ4" s="30" t="n">
        <v>3</v>
      </c>
      <c r="AR4" s="30" t="n">
        <v>4</v>
      </c>
      <c r="AS4" s="30" t="n">
        <v>5</v>
      </c>
      <c r="AT4" s="30" t="n">
        <v>6</v>
      </c>
      <c r="AU4" s="29" t="str">
        <f aca="false">IF(COUNTIF($C4:$AH4,"X")=1,"-","X")</f>
        <v>-</v>
      </c>
      <c r="AV4" s="29" t="str">
        <f aca="false">IF(COUNTIF($C4:$AH4,"C")=1,"-","C")</f>
        <v>-</v>
      </c>
      <c r="AW4" s="29" t="str">
        <f aca="false">IF(COUNTIF($C4:$AH4,"M")=1,"-","M")</f>
        <v>-</v>
      </c>
      <c r="AX4" s="29" t="str">
        <f aca="false">IF(COUNTIF($C4:$AH4,"W")=1,"-","W")</f>
        <v>-</v>
      </c>
      <c r="AY4" s="29" t="str">
        <f aca="false">IF((AZ4+1)*AZ4/2=SUMIF(C4:AH4,"&gt;=1"),"-",((AZ4+1)*AZ4/2-SUMIF(C4:AH4,"&gt;=1")))</f>
        <v>-</v>
      </c>
      <c r="AZ4" s="29" t="n">
        <f aca="false">IF(COUNTIF(BA4:BF4,"&gt;0")=COUNTIF(BJ4:BO4,"&gt; "),COUNTIF(BA4:BF4,"&gt;0"),"0")</f>
        <v>3</v>
      </c>
      <c r="BA4" s="27" t="n">
        <v>6</v>
      </c>
      <c r="BB4" s="27" t="n">
        <v>6</v>
      </c>
      <c r="BC4" s="27" t="n">
        <v>6</v>
      </c>
      <c r="BD4" s="27"/>
      <c r="BE4" s="27"/>
      <c r="BF4" s="27"/>
      <c r="BG4" s="29" t="n">
        <f aca="false">IF(SUMIF(BA4:BF4,"&gt;=1",BA4:BF4)+AZ4&gt;25,"X",(SUMIF(BA4:BF4,"&gt;=1",BA4:BF4)+AZ4))</f>
        <v>21</v>
      </c>
      <c r="BH4" s="29" t="s">
        <v>71</v>
      </c>
      <c r="BI4" s="26" t="s">
        <v>67</v>
      </c>
      <c r="BJ4" s="31" t="s">
        <v>68</v>
      </c>
      <c r="BK4" s="31" t="s">
        <v>69</v>
      </c>
      <c r="BL4" s="32" t="s">
        <v>70</v>
      </c>
      <c r="BM4" s="32" t="str">
        <f aca="false">" "</f>
        <v> </v>
      </c>
      <c r="BN4" s="32" t="str">
        <f aca="false">" "</f>
        <v> </v>
      </c>
      <c r="BO4" s="32" t="str">
        <f aca="false">" "</f>
        <v> </v>
      </c>
      <c r="BP4" s="32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</row>
    <row r="5" s="5" customFormat="true" ht="17.1" hidden="false" customHeight="true" outlineLevel="0" collapsed="false">
      <c r="A5" s="18" t="n">
        <f aca="false">A4+1</f>
        <v>3328</v>
      </c>
      <c r="B5" s="19" t="n">
        <f aca="false">B4+7</f>
        <v>40733</v>
      </c>
      <c r="C5" s="27" t="s">
        <v>61</v>
      </c>
      <c r="D5" s="27" t="s">
        <v>56</v>
      </c>
      <c r="E5" s="27"/>
      <c r="F5" s="27" t="s">
        <v>60</v>
      </c>
      <c r="G5" s="28"/>
      <c r="H5" s="28"/>
      <c r="I5" s="27"/>
      <c r="J5" s="27" t="s">
        <v>56</v>
      </c>
      <c r="K5" s="27" t="s">
        <v>57</v>
      </c>
      <c r="L5" s="27"/>
      <c r="M5" s="27"/>
      <c r="N5" s="27" t="n">
        <v>1</v>
      </c>
      <c r="O5" s="27" t="n">
        <v>3</v>
      </c>
      <c r="P5" s="27"/>
      <c r="Q5" s="27" t="s">
        <v>58</v>
      </c>
      <c r="R5" s="27" t="s">
        <v>59</v>
      </c>
      <c r="S5" s="27" t="s">
        <v>56</v>
      </c>
      <c r="T5" s="27" t="n">
        <v>2</v>
      </c>
      <c r="U5" s="27"/>
      <c r="V5" s="27"/>
      <c r="W5" s="27" t="s">
        <v>56</v>
      </c>
      <c r="X5" s="27"/>
      <c r="Y5" s="27" t="n">
        <v>4</v>
      </c>
      <c r="Z5" s="27" t="s">
        <v>63</v>
      </c>
      <c r="AA5" s="27" t="s">
        <v>62</v>
      </c>
      <c r="AB5" s="27" t="s">
        <v>56</v>
      </c>
      <c r="AC5" s="29"/>
      <c r="AD5" s="29"/>
      <c r="AE5" s="29"/>
      <c r="AF5" s="29"/>
      <c r="AG5" s="29"/>
      <c r="AH5" s="29"/>
      <c r="AI5" s="29" t="s">
        <v>61</v>
      </c>
      <c r="AJ5" s="29" t="s">
        <v>60</v>
      </c>
      <c r="AK5" s="29" t="s">
        <v>58</v>
      </c>
      <c r="AL5" s="29" t="s">
        <v>63</v>
      </c>
      <c r="AM5" s="29" t="s">
        <v>64</v>
      </c>
      <c r="AN5" s="29" t="s">
        <v>65</v>
      </c>
      <c r="AO5" s="30" t="n">
        <v>1</v>
      </c>
      <c r="AP5" s="30" t="n">
        <v>2</v>
      </c>
      <c r="AQ5" s="30" t="n">
        <v>3</v>
      </c>
      <c r="AR5" s="30" t="n">
        <v>4</v>
      </c>
      <c r="AS5" s="30" t="n">
        <v>5</v>
      </c>
      <c r="AT5" s="30" t="n">
        <v>6</v>
      </c>
      <c r="AU5" s="29" t="str">
        <f aca="false">IF(COUNTIF($C5:$AH5,"X")=1,"-","X")</f>
        <v>-</v>
      </c>
      <c r="AV5" s="29" t="str">
        <f aca="false">IF(COUNTIF($C5:$AH5,"C")=1,"-","C")</f>
        <v>-</v>
      </c>
      <c r="AW5" s="29" t="str">
        <f aca="false">IF(COUNTIF($C5:$AH5,"M")=1,"-","M")</f>
        <v>-</v>
      </c>
      <c r="AX5" s="29" t="str">
        <f aca="false">IF(COUNTIF($C5:$AH5,"W")=1,"-","W")</f>
        <v>-</v>
      </c>
      <c r="AY5" s="29" t="str">
        <f aca="false">IF((AZ5+1)*AZ5/2=SUMIF(C5:AH5,"&gt;=1"),"-",((AZ5+1)*AZ5/2-SUMIF(C5:AH5,"&gt;=1")))</f>
        <v>-</v>
      </c>
      <c r="AZ5" s="29" t="n">
        <f aca="false">IF(COUNTIF(BA5:BF5,"&gt;0")=COUNTIF(BJ5:BO5,"&gt; "),COUNTIF(BA5:BF5,"&gt;0"),"0")</f>
        <v>4</v>
      </c>
      <c r="BA5" s="27" t="n">
        <v>5</v>
      </c>
      <c r="BB5" s="27" t="n">
        <v>5</v>
      </c>
      <c r="BC5" s="27" t="n">
        <v>5</v>
      </c>
      <c r="BD5" s="27" t="n">
        <v>5</v>
      </c>
      <c r="BE5" s="27"/>
      <c r="BF5" s="27"/>
      <c r="BG5" s="29" t="n">
        <f aca="false">IF(SUMIF(BA5:BF5,"&gt;=1",BA5:BF5)+AZ5&gt;25,"X",(SUMIF(BA5:BF5,"&gt;=1",BA5:BF5)+AZ5))</f>
        <v>24</v>
      </c>
      <c r="BH5" s="29" t="s">
        <v>66</v>
      </c>
      <c r="BI5" s="26" t="s">
        <v>72</v>
      </c>
      <c r="BJ5" s="31" t="s">
        <v>73</v>
      </c>
      <c r="BK5" s="31" t="s">
        <v>74</v>
      </c>
      <c r="BL5" s="31" t="s">
        <v>75</v>
      </c>
      <c r="BM5" s="4" t="s">
        <v>76</v>
      </c>
      <c r="BN5" s="32" t="str">
        <f aca="false">" "</f>
        <v> </v>
      </c>
      <c r="BO5" s="32" t="str">
        <f aca="false">" "</f>
        <v> </v>
      </c>
      <c r="BP5" s="32"/>
      <c r="AMH5" s="0"/>
      <c r="AMI5" s="0"/>
      <c r="AMJ5" s="0"/>
    </row>
    <row r="6" customFormat="false" ht="17.1" hidden="false" customHeight="true" outlineLevel="0" collapsed="false">
      <c r="A6" s="18" t="n">
        <f aca="false">A5+1</f>
        <v>3329</v>
      </c>
      <c r="B6" s="19" t="n">
        <f aca="false">B5+7</f>
        <v>40740</v>
      </c>
      <c r="C6" s="27" t="s">
        <v>59</v>
      </c>
      <c r="D6" s="27"/>
      <c r="E6" s="27"/>
      <c r="F6" s="27"/>
      <c r="G6" s="28"/>
      <c r="H6" s="28" t="n">
        <v>1</v>
      </c>
      <c r="I6" s="27"/>
      <c r="J6" s="27" t="s">
        <v>56</v>
      </c>
      <c r="K6" s="27" t="s">
        <v>57</v>
      </c>
      <c r="L6" s="27" t="s">
        <v>56</v>
      </c>
      <c r="M6" s="27" t="s">
        <v>61</v>
      </c>
      <c r="N6" s="27"/>
      <c r="O6" s="27" t="n">
        <v>3</v>
      </c>
      <c r="P6" s="27"/>
      <c r="Q6" s="27"/>
      <c r="R6" s="33" t="n">
        <v>4</v>
      </c>
      <c r="S6" s="27"/>
      <c r="T6" s="27"/>
      <c r="U6" s="27" t="n">
        <v>2</v>
      </c>
      <c r="V6" s="27"/>
      <c r="W6" s="27" t="s">
        <v>56</v>
      </c>
      <c r="X6" s="27" t="s">
        <v>60</v>
      </c>
      <c r="Y6" s="27" t="s">
        <v>58</v>
      </c>
      <c r="Z6" s="27" t="s">
        <v>63</v>
      </c>
      <c r="AA6" s="27" t="s">
        <v>62</v>
      </c>
      <c r="AB6" s="27" t="s">
        <v>56</v>
      </c>
      <c r="AC6" s="29"/>
      <c r="AD6" s="29"/>
      <c r="AE6" s="29"/>
      <c r="AF6" s="29"/>
      <c r="AG6" s="29"/>
      <c r="AH6" s="29"/>
      <c r="AI6" s="29" t="s">
        <v>61</v>
      </c>
      <c r="AJ6" s="29" t="s">
        <v>60</v>
      </c>
      <c r="AK6" s="29" t="s">
        <v>58</v>
      </c>
      <c r="AL6" s="29" t="s">
        <v>63</v>
      </c>
      <c r="AM6" s="29" t="s">
        <v>64</v>
      </c>
      <c r="AN6" s="29" t="s">
        <v>65</v>
      </c>
      <c r="AO6" s="30" t="n">
        <v>1</v>
      </c>
      <c r="AP6" s="30" t="n">
        <v>2</v>
      </c>
      <c r="AQ6" s="30" t="n">
        <v>3</v>
      </c>
      <c r="AR6" s="30" t="n">
        <v>4</v>
      </c>
      <c r="AS6" s="30" t="n">
        <v>5</v>
      </c>
      <c r="AT6" s="30" t="n">
        <v>6</v>
      </c>
      <c r="AU6" s="29" t="str">
        <f aca="false">IF(COUNTIF($C6:$AH6,"X")=1,"-","X")</f>
        <v>-</v>
      </c>
      <c r="AV6" s="29" t="str">
        <f aca="false">IF(COUNTIF($C6:$AH6,"C")=1,"-","C")</f>
        <v>-</v>
      </c>
      <c r="AW6" s="29" t="str">
        <f aca="false">IF(COUNTIF($C6:$AH6,"M")=1,"-","M")</f>
        <v>-</v>
      </c>
      <c r="AX6" s="29" t="str">
        <f aca="false">IF(COUNTIF($C6:$AH6,"W")=1,"-","W")</f>
        <v>-</v>
      </c>
      <c r="AY6" s="29" t="str">
        <f aca="false">IF((AZ6+1)*AZ6/2=SUMIF(C6:AH6,"&gt;=1"),"-",((AZ6+1)*AZ6/2-SUMIF(C6:AH6,"&gt;=1")))</f>
        <v>-</v>
      </c>
      <c r="AZ6" s="29" t="n">
        <f aca="false">IF(COUNTIF(BA6:BF6,"&gt;0")=COUNTIF(BJ6:BO6,"&gt; "),COUNTIF(BA6:BF6,"&gt;0"),"0")</f>
        <v>4</v>
      </c>
      <c r="BA6" s="27" t="n">
        <v>5</v>
      </c>
      <c r="BB6" s="27" t="n">
        <v>5</v>
      </c>
      <c r="BC6" s="27" t="n">
        <v>5</v>
      </c>
      <c r="BD6" s="27" t="n">
        <v>5</v>
      </c>
      <c r="BE6" s="27"/>
      <c r="BF6" s="27"/>
      <c r="BG6" s="29" t="n">
        <f aca="false">IF(SUMIF(BA6:BF6,"&gt;=1",BA6:BF6)+AZ6&gt;25,"X",(SUMIF(BA6:BF6,"&gt;=1",BA6:BF6)+AZ6))</f>
        <v>24</v>
      </c>
      <c r="BH6" s="29" t="s">
        <v>66</v>
      </c>
      <c r="BI6" s="26" t="s">
        <v>77</v>
      </c>
      <c r="BJ6" s="32" t="s">
        <v>78</v>
      </c>
      <c r="BK6" s="32" t="s">
        <v>79</v>
      </c>
      <c r="BL6" s="32" t="s">
        <v>80</v>
      </c>
      <c r="BM6" s="32" t="s">
        <v>81</v>
      </c>
      <c r="BN6" s="32" t="str">
        <f aca="false">" "</f>
        <v> </v>
      </c>
      <c r="BO6" s="32" t="str">
        <f aca="false">" "</f>
        <v> </v>
      </c>
      <c r="BP6" s="32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</row>
    <row r="7" customFormat="false" ht="15.6" hidden="false" customHeight="true" outlineLevel="0" collapsed="false">
      <c r="A7" s="18" t="n">
        <f aca="false">A6+1</f>
        <v>3330</v>
      </c>
      <c r="B7" s="19" t="n">
        <f aca="false">B6+7</f>
        <v>40747</v>
      </c>
      <c r="C7" s="27" t="s">
        <v>58</v>
      </c>
      <c r="D7" s="27" t="s">
        <v>60</v>
      </c>
      <c r="E7" s="27" t="n">
        <v>1</v>
      </c>
      <c r="F7" s="27"/>
      <c r="G7" s="28"/>
      <c r="H7" s="28"/>
      <c r="I7" s="27" t="n">
        <v>2</v>
      </c>
      <c r="J7" s="27" t="s">
        <v>56</v>
      </c>
      <c r="K7" s="27" t="s">
        <v>57</v>
      </c>
      <c r="L7" s="27" t="s">
        <v>56</v>
      </c>
      <c r="M7" s="34"/>
      <c r="N7" s="27" t="s">
        <v>61</v>
      </c>
      <c r="O7" s="27" t="s">
        <v>56</v>
      </c>
      <c r="P7" s="27" t="n">
        <v>3</v>
      </c>
      <c r="Q7" s="27" t="n">
        <v>4</v>
      </c>
      <c r="R7" s="27"/>
      <c r="S7" s="27"/>
      <c r="T7" s="27"/>
      <c r="U7" s="27"/>
      <c r="V7" s="27"/>
      <c r="W7" s="35"/>
      <c r="X7" s="27"/>
      <c r="Y7" s="27" t="s">
        <v>62</v>
      </c>
      <c r="Z7" s="27" t="s">
        <v>63</v>
      </c>
      <c r="AA7" s="27" t="s">
        <v>56</v>
      </c>
      <c r="AB7" s="27"/>
      <c r="AC7" s="29"/>
      <c r="AD7" s="29"/>
      <c r="AE7" s="29"/>
      <c r="AF7" s="29"/>
      <c r="AG7" s="29"/>
      <c r="AH7" s="29"/>
      <c r="AI7" s="29" t="s">
        <v>61</v>
      </c>
      <c r="AJ7" s="29" t="s">
        <v>60</v>
      </c>
      <c r="AK7" s="29" t="s">
        <v>58</v>
      </c>
      <c r="AL7" s="29" t="s">
        <v>63</v>
      </c>
      <c r="AM7" s="29" t="s">
        <v>64</v>
      </c>
      <c r="AN7" s="29" t="s">
        <v>65</v>
      </c>
      <c r="AO7" s="30" t="n">
        <v>1</v>
      </c>
      <c r="AP7" s="30" t="n">
        <v>2</v>
      </c>
      <c r="AQ7" s="30" t="n">
        <v>3</v>
      </c>
      <c r="AR7" s="30" t="n">
        <v>4</v>
      </c>
      <c r="AS7" s="30" t="n">
        <v>5</v>
      </c>
      <c r="AT7" s="30" t="n">
        <v>6</v>
      </c>
      <c r="AU7" s="29" t="str">
        <f aca="false">IF(COUNTIF($C7:$AH7,"X")=1,"-","X")</f>
        <v>-</v>
      </c>
      <c r="AV7" s="29" t="str">
        <f aca="false">IF(COUNTIF($C7:$AH7,"C")=1,"-","C")</f>
        <v>-</v>
      </c>
      <c r="AW7" s="29" t="str">
        <f aca="false">IF(COUNTIF($C7:$AH7,"M")=1,"-","M")</f>
        <v>-</v>
      </c>
      <c r="AX7" s="29" t="str">
        <f aca="false">IF(COUNTIF($C7:$AH7,"W")=1,"-","W")</f>
        <v>-</v>
      </c>
      <c r="AY7" s="29" t="str">
        <f aca="false">IF((AZ7+1)*AZ7/2=SUMIF(C7:AH7,"&gt;=1"),"-",((AZ7+1)*AZ7/2-SUMIF(C7:AH7,"&gt;=1")))</f>
        <v>-</v>
      </c>
      <c r="AZ7" s="29" t="n">
        <f aca="false">IF(COUNTIF(BA7:BF7,"&gt;0")=COUNTIF(BJ7:BO7,"&gt; "),COUNTIF(BA7:BF7,"&gt;0"),"0")</f>
        <v>4</v>
      </c>
      <c r="BA7" s="27" t="n">
        <v>6</v>
      </c>
      <c r="BB7" s="27" t="n">
        <v>4</v>
      </c>
      <c r="BC7" s="27" t="n">
        <v>6</v>
      </c>
      <c r="BD7" s="27" t="n">
        <v>4</v>
      </c>
      <c r="BE7" s="27"/>
      <c r="BF7" s="27"/>
      <c r="BG7" s="29" t="n">
        <f aca="false">IF(SUMIF(BA7:BF7,"&gt;=1",BA7:BF7)+AZ7&gt;25,"X",(SUMIF(BA7:BF7,"&gt;=1",BA7:BF7)+AZ7))</f>
        <v>24</v>
      </c>
      <c r="BH7" s="29" t="s">
        <v>66</v>
      </c>
      <c r="BI7" s="26" t="s">
        <v>82</v>
      </c>
      <c r="BJ7" s="31" t="s">
        <v>83</v>
      </c>
      <c r="BK7" s="31" t="s">
        <v>84</v>
      </c>
      <c r="BL7" s="31" t="s">
        <v>85</v>
      </c>
      <c r="BM7" s="31" t="s">
        <v>86</v>
      </c>
      <c r="BN7" s="32" t="str">
        <f aca="false">" "</f>
        <v> </v>
      </c>
      <c r="BO7" s="32" t="str">
        <f aca="false">" "</f>
        <v> </v>
      </c>
      <c r="BP7" s="26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</row>
    <row r="8" customFormat="false" ht="17.1" hidden="false" customHeight="true" outlineLevel="0" collapsed="false">
      <c r="A8" s="18" t="n">
        <f aca="false">A7+1</f>
        <v>3331</v>
      </c>
      <c r="B8" s="19" t="n">
        <f aca="false">B7+7</f>
        <v>40754</v>
      </c>
      <c r="C8" s="27" t="s">
        <v>56</v>
      </c>
      <c r="D8" s="27" t="n">
        <v>1</v>
      </c>
      <c r="E8" s="27" t="s">
        <v>60</v>
      </c>
      <c r="F8" s="27" t="s">
        <v>58</v>
      </c>
      <c r="G8" s="28" t="n">
        <v>2</v>
      </c>
      <c r="H8" s="28"/>
      <c r="I8" s="27"/>
      <c r="J8" s="27" t="s">
        <v>56</v>
      </c>
      <c r="K8" s="27" t="s">
        <v>57</v>
      </c>
      <c r="L8" s="27"/>
      <c r="M8" s="34"/>
      <c r="N8" s="27" t="n">
        <v>3</v>
      </c>
      <c r="O8" s="27" t="s">
        <v>56</v>
      </c>
      <c r="P8" s="27" t="s">
        <v>61</v>
      </c>
      <c r="Q8" s="27"/>
      <c r="R8" s="27"/>
      <c r="S8" s="27"/>
      <c r="T8" s="27"/>
      <c r="U8" s="27"/>
      <c r="V8" s="27" t="n">
        <v>4</v>
      </c>
      <c r="W8" s="35"/>
      <c r="X8" s="27"/>
      <c r="Y8" s="27" t="s">
        <v>62</v>
      </c>
      <c r="Z8" s="27" t="s">
        <v>63</v>
      </c>
      <c r="AA8" s="27" t="s">
        <v>56</v>
      </c>
      <c r="AB8" s="27"/>
      <c r="AC8" s="29"/>
      <c r="AD8" s="29"/>
      <c r="AE8" s="29"/>
      <c r="AF8" s="29"/>
      <c r="AG8" s="29"/>
      <c r="AH8" s="29"/>
      <c r="AI8" s="29" t="s">
        <v>61</v>
      </c>
      <c r="AJ8" s="29" t="s">
        <v>60</v>
      </c>
      <c r="AK8" s="29" t="s">
        <v>58</v>
      </c>
      <c r="AL8" s="29" t="s">
        <v>63</v>
      </c>
      <c r="AM8" s="29" t="s">
        <v>64</v>
      </c>
      <c r="AN8" s="29" t="s">
        <v>65</v>
      </c>
      <c r="AO8" s="30" t="n">
        <v>1</v>
      </c>
      <c r="AP8" s="30" t="n">
        <v>2</v>
      </c>
      <c r="AQ8" s="30" t="n">
        <v>3</v>
      </c>
      <c r="AR8" s="30" t="n">
        <v>4</v>
      </c>
      <c r="AS8" s="30" t="n">
        <v>5</v>
      </c>
      <c r="AT8" s="30" t="n">
        <v>6</v>
      </c>
      <c r="AU8" s="29" t="str">
        <f aca="false">IF(COUNTIF($C8:$AH8,"X")=1,"-","X")</f>
        <v>-</v>
      </c>
      <c r="AV8" s="29" t="str">
        <f aca="false">IF(COUNTIF($C8:$AH8,"C")=1,"-","C")</f>
        <v>-</v>
      </c>
      <c r="AW8" s="29" t="str">
        <f aca="false">IF(COUNTIF($C8:$AH8,"M")=1,"-","M")</f>
        <v>-</v>
      </c>
      <c r="AX8" s="29" t="str">
        <f aca="false">IF(COUNTIF($C8:$AH8,"W")=1,"-","W")</f>
        <v>-</v>
      </c>
      <c r="AY8" s="29" t="str">
        <f aca="false">IF((AZ8+1)*AZ8/2=SUMIF(C8:AH8,"&gt;=1"),"-",((AZ8+1)*AZ8/2-SUMIF(C8:AH8,"&gt;=1")))</f>
        <v>-</v>
      </c>
      <c r="AZ8" s="29" t="n">
        <v>4</v>
      </c>
      <c r="BA8" s="27" t="n">
        <v>4</v>
      </c>
      <c r="BB8" s="27" t="n">
        <v>6</v>
      </c>
      <c r="BC8" s="27" t="n">
        <v>4</v>
      </c>
      <c r="BD8" s="27" t="n">
        <v>6</v>
      </c>
      <c r="BE8" s="27"/>
      <c r="BF8" s="27"/>
      <c r="BG8" s="29" t="n">
        <f aca="false">IF(SUMIF(BA8:BF8,"&gt;=1",BA8:BF8)+AZ8&gt;25,"X",(SUMIF(BA8:BF8,"&gt;=1",BA8:BF8)+AZ8))</f>
        <v>24</v>
      </c>
      <c r="BH8" s="29" t="n">
        <v>5</v>
      </c>
      <c r="BI8" s="26" t="s">
        <v>87</v>
      </c>
      <c r="BJ8" s="31" t="s">
        <v>88</v>
      </c>
      <c r="BK8" s="31" t="s">
        <v>89</v>
      </c>
      <c r="BL8" s="31" t="s">
        <v>90</v>
      </c>
      <c r="BM8" s="31" t="s">
        <v>91</v>
      </c>
      <c r="BN8" s="32" t="str">
        <f aca="false">" "</f>
        <v> </v>
      </c>
      <c r="BO8" s="32" t="str">
        <f aca="false">" "</f>
        <v> </v>
      </c>
      <c r="BP8" s="32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</row>
    <row r="9" customFormat="false" ht="17.1" hidden="false" customHeight="true" outlineLevel="0" collapsed="false">
      <c r="A9" s="18" t="n">
        <f aca="false">A8+1</f>
        <v>3332</v>
      </c>
      <c r="B9" s="19" t="n">
        <f aca="false">B8+7</f>
        <v>40761</v>
      </c>
      <c r="C9" s="27" t="s">
        <v>59</v>
      </c>
      <c r="D9" s="27"/>
      <c r="E9" s="27"/>
      <c r="F9" s="27" t="n">
        <v>1</v>
      </c>
      <c r="G9" s="28" t="s">
        <v>58</v>
      </c>
      <c r="H9" s="28"/>
      <c r="I9" s="27"/>
      <c r="J9" s="27" t="s">
        <v>56</v>
      </c>
      <c r="K9" s="27" t="s">
        <v>57</v>
      </c>
      <c r="L9" s="27" t="s">
        <v>60</v>
      </c>
      <c r="M9" s="34"/>
      <c r="N9" s="27"/>
      <c r="O9" s="27" t="s">
        <v>56</v>
      </c>
      <c r="P9" s="27"/>
      <c r="Q9" s="27" t="s">
        <v>61</v>
      </c>
      <c r="R9" s="27"/>
      <c r="S9" s="27" t="n">
        <v>2</v>
      </c>
      <c r="T9" s="27"/>
      <c r="U9" s="27"/>
      <c r="V9" s="27"/>
      <c r="W9" s="35"/>
      <c r="X9" s="27" t="n">
        <v>3</v>
      </c>
      <c r="Y9" s="27" t="s">
        <v>62</v>
      </c>
      <c r="Z9" s="27" t="s">
        <v>63</v>
      </c>
      <c r="AA9" s="27" t="s">
        <v>56</v>
      </c>
      <c r="AB9" s="27"/>
      <c r="AC9" s="29"/>
      <c r="AD9" s="29"/>
      <c r="AE9" s="29"/>
      <c r="AF9" s="29"/>
      <c r="AG9" s="29"/>
      <c r="AH9" s="29"/>
      <c r="AI9" s="29" t="s">
        <v>61</v>
      </c>
      <c r="AJ9" s="29" t="s">
        <v>60</v>
      </c>
      <c r="AK9" s="29" t="s">
        <v>58</v>
      </c>
      <c r="AL9" s="29" t="s">
        <v>63</v>
      </c>
      <c r="AM9" s="29" t="s">
        <v>64</v>
      </c>
      <c r="AN9" s="29" t="s">
        <v>65</v>
      </c>
      <c r="AO9" s="30" t="n">
        <v>1</v>
      </c>
      <c r="AP9" s="30" t="n">
        <v>2</v>
      </c>
      <c r="AQ9" s="30" t="n">
        <v>3</v>
      </c>
      <c r="AR9" s="30" t="n">
        <v>4</v>
      </c>
      <c r="AS9" s="30" t="n">
        <v>5</v>
      </c>
      <c r="AT9" s="30" t="n">
        <v>6</v>
      </c>
      <c r="AU9" s="29" t="str">
        <f aca="false">IF(COUNTIF($C9:$AH9,"X")=1,"-","X")</f>
        <v>-</v>
      </c>
      <c r="AV9" s="29" t="str">
        <f aca="false">IF(COUNTIF($C9:$AH9,"C")=1,"-","C")</f>
        <v>-</v>
      </c>
      <c r="AW9" s="29" t="str">
        <f aca="false">IF(COUNTIF($C9:$AH9,"M")=1,"-","M")</f>
        <v>-</v>
      </c>
      <c r="AX9" s="29" t="str">
        <f aca="false">IF(COUNTIF($C9:$AH9,"W")=1,"-","W")</f>
        <v>-</v>
      </c>
      <c r="AY9" s="29" t="str">
        <f aca="false">IF((AZ9+1)*AZ9/2=SUMIF(C9:AH9,"&gt;=1"),"-",((AZ9+1)*AZ9/2-SUMIF(C9:AH9,"&gt;=1")))</f>
        <v>-</v>
      </c>
      <c r="AZ9" s="29" t="n">
        <f aca="false">IF(COUNTIF(BA9:BF9,"&gt;0")=COUNTIF(BJ9:BO9,"&gt; "),COUNTIF(BA9:BF9,"&gt;0"),"0")</f>
        <v>3</v>
      </c>
      <c r="BA9" s="27" t="n">
        <v>7</v>
      </c>
      <c r="BB9" s="27" t="n">
        <v>7</v>
      </c>
      <c r="BC9" s="27" t="n">
        <v>7</v>
      </c>
      <c r="BD9" s="27"/>
      <c r="BE9" s="27"/>
      <c r="BF9" s="27"/>
      <c r="BG9" s="29" t="n">
        <f aca="false">IF(SUMIF(BA9:BF9,"&gt;=1",BA9:BF9)+AZ9&gt;25,"X",(SUMIF(BA9:BF9,"&gt;=1",BA9:BF9)+AZ9))</f>
        <v>24</v>
      </c>
      <c r="BH9" s="29" t="s">
        <v>66</v>
      </c>
      <c r="BI9" s="26" t="s">
        <v>92</v>
      </c>
      <c r="BJ9" s="31" t="s">
        <v>93</v>
      </c>
      <c r="BK9" s="31" t="s">
        <v>94</v>
      </c>
      <c r="BL9" s="31" t="s">
        <v>95</v>
      </c>
      <c r="BM9" s="32" t="str">
        <f aca="false">" "</f>
        <v> </v>
      </c>
      <c r="BN9" s="32" t="str">
        <f aca="false">" "</f>
        <v> </v>
      </c>
      <c r="BO9" s="32" t="str">
        <f aca="false">" "</f>
        <v> </v>
      </c>
      <c r="BP9" s="32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</row>
    <row r="10" customFormat="false" ht="17.1" hidden="false" customHeight="true" outlineLevel="0" collapsed="false">
      <c r="A10" s="18" t="n">
        <f aca="false">A9+1</f>
        <v>3333</v>
      </c>
      <c r="B10" s="19" t="n">
        <f aca="false">B9+7</f>
        <v>40768</v>
      </c>
      <c r="C10" s="27" t="s">
        <v>56</v>
      </c>
      <c r="D10" s="27"/>
      <c r="E10" s="27"/>
      <c r="F10" s="27"/>
      <c r="G10" s="28"/>
      <c r="H10" s="28" t="s">
        <v>58</v>
      </c>
      <c r="I10" s="27"/>
      <c r="J10" s="27" t="s">
        <v>56</v>
      </c>
      <c r="K10" s="27" t="s">
        <v>57</v>
      </c>
      <c r="L10" s="27"/>
      <c r="M10" s="27" t="s">
        <v>60</v>
      </c>
      <c r="N10" s="27"/>
      <c r="O10" s="27" t="s">
        <v>56</v>
      </c>
      <c r="P10" s="27"/>
      <c r="Q10" s="27"/>
      <c r="R10" s="27" t="s">
        <v>61</v>
      </c>
      <c r="S10" s="27"/>
      <c r="T10" s="27" t="n">
        <v>4</v>
      </c>
      <c r="U10" s="27"/>
      <c r="V10" s="27"/>
      <c r="W10" s="35"/>
      <c r="X10" s="27"/>
      <c r="Y10" s="27" t="n">
        <v>5</v>
      </c>
      <c r="Z10" s="27" t="s">
        <v>63</v>
      </c>
      <c r="AA10" s="27" t="s">
        <v>56</v>
      </c>
      <c r="AB10" s="27" t="n">
        <v>1</v>
      </c>
      <c r="AC10" s="29"/>
      <c r="AD10" s="29"/>
      <c r="AE10" s="29"/>
      <c r="AF10" s="29"/>
      <c r="AG10" s="29"/>
      <c r="AH10" s="29"/>
      <c r="AI10" s="29" t="s">
        <v>61</v>
      </c>
      <c r="AJ10" s="29" t="s">
        <v>60</v>
      </c>
      <c r="AK10" s="29" t="s">
        <v>58</v>
      </c>
      <c r="AL10" s="29" t="s">
        <v>63</v>
      </c>
      <c r="AM10" s="29" t="s">
        <v>64</v>
      </c>
      <c r="AN10" s="29" t="s">
        <v>65</v>
      </c>
      <c r="AO10" s="30" t="n">
        <v>1</v>
      </c>
      <c r="AP10" s="30" t="n">
        <v>2</v>
      </c>
      <c r="AQ10" s="30" t="n">
        <v>3</v>
      </c>
      <c r="AR10" s="30" t="n">
        <v>4</v>
      </c>
      <c r="AS10" s="30" t="n">
        <v>5</v>
      </c>
      <c r="AT10" s="30" t="n">
        <v>6</v>
      </c>
      <c r="AU10" s="29" t="str">
        <f aca="false">IF(COUNTIF($C10:$AH10,"X")=1,"-","X")</f>
        <v>-</v>
      </c>
      <c r="AV10" s="29" t="str">
        <f aca="false">IF(COUNTIF($C10:$AH10,"C")=1,"-","C")</f>
        <v>-</v>
      </c>
      <c r="AW10" s="29" t="str">
        <f aca="false">IF(COUNTIF($C10:$AH10,"M")=1,"-","M")</f>
        <v>-</v>
      </c>
      <c r="AX10" s="29" t="str">
        <f aca="false">IF(COUNTIF($C10:$AH10,"W")=1,"-","W")</f>
        <v>-</v>
      </c>
      <c r="AY10" s="29" t="str">
        <f aca="false">IF((AZ10+1)*AZ10/2=SUMIF(C10:AH10,"&gt;=1"),"-",((AZ10+1)*AZ10/2-SUMIF(C10:AH10,"&gt;=1")))</f>
        <v>-</v>
      </c>
      <c r="AZ10" s="29" t="n">
        <v>4</v>
      </c>
      <c r="BA10" s="27" t="n">
        <v>4</v>
      </c>
      <c r="BB10" s="27" t="n">
        <v>6</v>
      </c>
      <c r="BC10" s="27" t="n">
        <v>4</v>
      </c>
      <c r="BD10" s="27" t="n">
        <v>6</v>
      </c>
      <c r="BE10" s="27"/>
      <c r="BF10" s="27"/>
      <c r="BG10" s="29" t="n">
        <f aca="false">IF(SUMIF(BA10:BF10,"&gt;=1",BA10:BF10)+AZ10&gt;25,"X",(SUMIF(BA10:BF10,"&gt;=1",BA10:BF10)+AZ10))</f>
        <v>24</v>
      </c>
      <c r="BH10" s="29" t="s">
        <v>66</v>
      </c>
      <c r="BI10" s="26" t="s">
        <v>96</v>
      </c>
      <c r="BJ10" s="31" t="s">
        <v>97</v>
      </c>
      <c r="BK10" s="31" t="s">
        <v>98</v>
      </c>
      <c r="BL10" s="31" t="s">
        <v>99</v>
      </c>
      <c r="BM10" s="31" t="s">
        <v>100</v>
      </c>
      <c r="BN10" s="32" t="str">
        <f aca="false">" "</f>
        <v> </v>
      </c>
      <c r="BO10" s="32" t="str">
        <f aca="false">" "</f>
        <v> </v>
      </c>
      <c r="BP10" s="32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</row>
    <row r="11" customFormat="false" ht="17.1" hidden="false" customHeight="true" outlineLevel="0" collapsed="false">
      <c r="A11" s="18" t="n">
        <f aca="false">A10+1</f>
        <v>3334</v>
      </c>
      <c r="B11" s="19" t="n">
        <f aca="false">B10+7</f>
        <v>40775</v>
      </c>
      <c r="C11" s="27" t="s">
        <v>56</v>
      </c>
      <c r="D11" s="27"/>
      <c r="E11" s="27"/>
      <c r="F11" s="27"/>
      <c r="G11" s="28"/>
      <c r="H11" s="28"/>
      <c r="I11" s="27" t="n">
        <v>3</v>
      </c>
      <c r="J11" s="27" t="s">
        <v>56</v>
      </c>
      <c r="K11" s="27" t="s">
        <v>57</v>
      </c>
      <c r="L11" s="27" t="n">
        <v>1</v>
      </c>
      <c r="M11" s="34" t="s">
        <v>58</v>
      </c>
      <c r="N11" s="27" t="s">
        <v>60</v>
      </c>
      <c r="O11" s="27" t="s">
        <v>56</v>
      </c>
      <c r="P11" s="27" t="n">
        <v>4</v>
      </c>
      <c r="Q11" s="27"/>
      <c r="R11" s="27"/>
      <c r="S11" s="27" t="s">
        <v>61</v>
      </c>
      <c r="T11" s="27"/>
      <c r="U11" s="27" t="n">
        <v>2</v>
      </c>
      <c r="V11" s="27"/>
      <c r="W11" s="35"/>
      <c r="X11" s="27"/>
      <c r="Y11" s="27" t="s">
        <v>62</v>
      </c>
      <c r="Z11" s="27" t="s">
        <v>63</v>
      </c>
      <c r="AA11" s="27" t="s">
        <v>56</v>
      </c>
      <c r="AB11" s="27"/>
      <c r="AC11" s="29"/>
      <c r="AD11" s="29"/>
      <c r="AE11" s="29"/>
      <c r="AF11" s="29"/>
      <c r="AG11" s="29"/>
      <c r="AH11" s="29"/>
      <c r="AI11" s="29" t="s">
        <v>61</v>
      </c>
      <c r="AJ11" s="29" t="s">
        <v>60</v>
      </c>
      <c r="AK11" s="29" t="s">
        <v>58</v>
      </c>
      <c r="AL11" s="29" t="s">
        <v>63</v>
      </c>
      <c r="AM11" s="29" t="s">
        <v>64</v>
      </c>
      <c r="AN11" s="29" t="s">
        <v>65</v>
      </c>
      <c r="AO11" s="30" t="n">
        <v>1</v>
      </c>
      <c r="AP11" s="30" t="n">
        <v>2</v>
      </c>
      <c r="AQ11" s="30" t="n">
        <v>3</v>
      </c>
      <c r="AR11" s="30" t="n">
        <v>4</v>
      </c>
      <c r="AS11" s="30" t="n">
        <v>5</v>
      </c>
      <c r="AT11" s="30" t="n">
        <v>6</v>
      </c>
      <c r="AU11" s="29" t="str">
        <f aca="false">IF(COUNTIF($C11:$AH11,"X")=1,"-","X")</f>
        <v>-</v>
      </c>
      <c r="AV11" s="29" t="str">
        <f aca="false">IF(COUNTIF($C11:$AH11,"C")=1,"-","C")</f>
        <v>-</v>
      </c>
      <c r="AW11" s="29" t="str">
        <f aca="false">IF(COUNTIF($C11:$AH11,"M")=1,"-","M")</f>
        <v>-</v>
      </c>
      <c r="AX11" s="29" t="str">
        <f aca="false">IF(COUNTIF($C11:$AH11,"W")=1,"-","W")</f>
        <v>-</v>
      </c>
      <c r="AY11" s="29" t="str">
        <f aca="false">IF((AZ11+1)*AZ11/2=SUMIF(C11:AH11,"&gt;=1"),"-",((AZ11+1)*AZ11/2-SUMIF(C11:AH11,"&gt;=1")))</f>
        <v>-</v>
      </c>
      <c r="AZ11" s="29" t="n">
        <f aca="false">IF(COUNTIF(BA11:BF11,"&gt;0")=COUNTIF(BJ11:BO11,"&gt; "),COUNTIF(BA11:BF11,"&gt;0"),"0")</f>
        <v>4</v>
      </c>
      <c r="BA11" s="27" t="n">
        <v>6</v>
      </c>
      <c r="BB11" s="27" t="n">
        <v>6</v>
      </c>
      <c r="BC11" s="27" t="n">
        <v>4</v>
      </c>
      <c r="BD11" s="27" t="n">
        <v>4</v>
      </c>
      <c r="BE11" s="27"/>
      <c r="BF11" s="27"/>
      <c r="BG11" s="29" t="n">
        <f aca="false">IF(SUMIF(BA11:BF11,"&gt;=1",BA11:BF11)+AZ11&gt;25,"X",(SUMIF(BA11:BF11,"&gt;=1",BA11:BF11)+AZ11))</f>
        <v>24</v>
      </c>
      <c r="BH11" s="29" t="s">
        <v>66</v>
      </c>
      <c r="BI11" s="26" t="s">
        <v>101</v>
      </c>
      <c r="BJ11" s="31" t="s">
        <v>102</v>
      </c>
      <c r="BK11" s="31" t="s">
        <v>103</v>
      </c>
      <c r="BL11" s="31" t="s">
        <v>104</v>
      </c>
      <c r="BM11" s="31" t="s">
        <v>105</v>
      </c>
      <c r="BN11" s="32" t="str">
        <f aca="false">" "</f>
        <v> </v>
      </c>
      <c r="BO11" s="32" t="str">
        <f aca="false">" "</f>
        <v> </v>
      </c>
      <c r="BP11" s="32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</row>
    <row r="12" customFormat="false" ht="17.1" hidden="false" customHeight="true" outlineLevel="0" collapsed="false">
      <c r="A12" s="18" t="n">
        <f aca="false">A11+1</f>
        <v>3335</v>
      </c>
      <c r="B12" s="19" t="n">
        <f aca="false">B11+7</f>
        <v>40782</v>
      </c>
      <c r="C12" s="27" t="n">
        <v>4</v>
      </c>
      <c r="D12" s="27"/>
      <c r="E12" s="27"/>
      <c r="F12" s="27"/>
      <c r="G12" s="28"/>
      <c r="H12" s="28"/>
      <c r="I12" s="27"/>
      <c r="J12" s="27" t="s">
        <v>56</v>
      </c>
      <c r="K12" s="27" t="s">
        <v>57</v>
      </c>
      <c r="L12" s="27"/>
      <c r="M12" s="34"/>
      <c r="N12" s="27"/>
      <c r="O12" s="27" t="s">
        <v>56</v>
      </c>
      <c r="P12" s="27" t="s">
        <v>60</v>
      </c>
      <c r="Q12" s="27" t="n">
        <v>2</v>
      </c>
      <c r="R12" s="27"/>
      <c r="S12" s="27" t="s">
        <v>58</v>
      </c>
      <c r="T12" s="27" t="s">
        <v>56</v>
      </c>
      <c r="U12" s="27" t="s">
        <v>61</v>
      </c>
      <c r="V12" s="27" t="n">
        <v>1</v>
      </c>
      <c r="W12" s="35"/>
      <c r="X12" s="27" t="n">
        <v>3</v>
      </c>
      <c r="Y12" s="27" t="s">
        <v>62</v>
      </c>
      <c r="Z12" s="27" t="s">
        <v>63</v>
      </c>
      <c r="AA12" s="27" t="s">
        <v>56</v>
      </c>
      <c r="AB12" s="27"/>
      <c r="AC12" s="29"/>
      <c r="AD12" s="29"/>
      <c r="AE12" s="29"/>
      <c r="AF12" s="29"/>
      <c r="AG12" s="29"/>
      <c r="AH12" s="29"/>
      <c r="AI12" s="29" t="s">
        <v>61</v>
      </c>
      <c r="AJ12" s="29" t="s">
        <v>60</v>
      </c>
      <c r="AK12" s="29" t="s">
        <v>58</v>
      </c>
      <c r="AL12" s="29" t="s">
        <v>63</v>
      </c>
      <c r="AM12" s="29" t="s">
        <v>64</v>
      </c>
      <c r="AN12" s="29" t="s">
        <v>65</v>
      </c>
      <c r="AO12" s="30" t="n">
        <v>1</v>
      </c>
      <c r="AP12" s="30" t="n">
        <v>2</v>
      </c>
      <c r="AQ12" s="30" t="n">
        <v>3</v>
      </c>
      <c r="AR12" s="30" t="n">
        <v>4</v>
      </c>
      <c r="AS12" s="30" t="n">
        <v>5</v>
      </c>
      <c r="AT12" s="30" t="n">
        <v>6</v>
      </c>
      <c r="AU12" s="29" t="str">
        <f aca="false">IF(COUNTIF($C12:$AH12,"X")=1,"-","X")</f>
        <v>-</v>
      </c>
      <c r="AV12" s="29" t="str">
        <f aca="false">IF(COUNTIF($C12:$AH12,"C")=1,"-","C")</f>
        <v>-</v>
      </c>
      <c r="AW12" s="29" t="str">
        <f aca="false">IF(COUNTIF($C12:$AH12,"M")=1,"-","M")</f>
        <v>-</v>
      </c>
      <c r="AX12" s="29" t="str">
        <f aca="false">IF(COUNTIF($C12:$AH12,"W")=1,"-","W")</f>
        <v>-</v>
      </c>
      <c r="AY12" s="29" t="str">
        <f aca="false">IF((AZ12+1)*AZ12/2=SUMIF(C12:AH12,"&gt;=1"),"-",((AZ12+1)*AZ12/2-SUMIF(C12:AH12,"&gt;=1")))</f>
        <v>-</v>
      </c>
      <c r="AZ12" s="29" t="n">
        <f aca="false">IF(COUNTIF(BA12:BF12,"&gt;0")=COUNTIF(BJ12:BO12,"&gt; "),COUNTIF(BA12:BF12,"&gt;0"),"0")</f>
        <v>4</v>
      </c>
      <c r="BA12" s="27" t="n">
        <v>5</v>
      </c>
      <c r="BB12" s="27" t="n">
        <v>5</v>
      </c>
      <c r="BC12" s="27" t="n">
        <v>5</v>
      </c>
      <c r="BD12" s="27" t="n">
        <v>5</v>
      </c>
      <c r="BE12" s="27"/>
      <c r="BF12" s="27"/>
      <c r="BG12" s="29" t="n">
        <f aca="false">IF(SUMIF(BA12:BF12,"&gt;=1",BA12:BF12)+AZ12&gt;25,"X",(SUMIF(BA12:BF12,"&gt;=1",BA12:BF12)+AZ12))</f>
        <v>24</v>
      </c>
      <c r="BH12" s="29" t="s">
        <v>66</v>
      </c>
      <c r="BI12" s="26" t="s">
        <v>106</v>
      </c>
      <c r="BJ12" s="31" t="s">
        <v>107</v>
      </c>
      <c r="BK12" s="31" t="s">
        <v>108</v>
      </c>
      <c r="BL12" s="31" t="s">
        <v>109</v>
      </c>
      <c r="BM12" s="31" t="s">
        <v>110</v>
      </c>
      <c r="BN12" s="32" t="str">
        <f aca="false">" "</f>
        <v> </v>
      </c>
      <c r="BO12" s="32" t="str">
        <f aca="false">" "</f>
        <v> </v>
      </c>
      <c r="BP12" s="32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</row>
    <row r="13" customFormat="false" ht="17.1" hidden="false" customHeight="true" outlineLevel="0" collapsed="false">
      <c r="A13" s="18" t="n">
        <f aca="false">A12+1</f>
        <v>3336</v>
      </c>
      <c r="B13" s="19" t="n">
        <f aca="false">B12+7</f>
        <v>40789</v>
      </c>
      <c r="C13" s="27" t="s">
        <v>56</v>
      </c>
      <c r="D13" s="27"/>
      <c r="E13" s="27" t="n">
        <v>2</v>
      </c>
      <c r="F13" s="27"/>
      <c r="G13" s="28"/>
      <c r="H13" s="28"/>
      <c r="I13" s="27"/>
      <c r="J13" s="27" t="s">
        <v>56</v>
      </c>
      <c r="K13" s="27" t="s">
        <v>57</v>
      </c>
      <c r="L13" s="27" t="s">
        <v>58</v>
      </c>
      <c r="M13" s="34"/>
      <c r="N13" s="27"/>
      <c r="O13" s="27" t="s">
        <v>56</v>
      </c>
      <c r="P13" s="27"/>
      <c r="Q13" s="27" t="s">
        <v>60</v>
      </c>
      <c r="R13" s="27" t="n">
        <v>3</v>
      </c>
      <c r="S13" s="27"/>
      <c r="T13" s="27" t="s">
        <v>61</v>
      </c>
      <c r="U13" s="27"/>
      <c r="V13" s="27"/>
      <c r="W13" s="35" t="n">
        <v>1</v>
      </c>
      <c r="X13" s="27"/>
      <c r="Y13" s="27" t="s">
        <v>62</v>
      </c>
      <c r="Z13" s="27" t="s">
        <v>63</v>
      </c>
      <c r="AA13" s="27" t="s">
        <v>56</v>
      </c>
      <c r="AB13" s="27"/>
      <c r="AC13" s="29"/>
      <c r="AD13" s="29"/>
      <c r="AE13" s="29"/>
      <c r="AF13" s="29"/>
      <c r="AG13" s="29"/>
      <c r="AH13" s="29"/>
      <c r="AI13" s="29" t="s">
        <v>61</v>
      </c>
      <c r="AJ13" s="29" t="s">
        <v>60</v>
      </c>
      <c r="AK13" s="29" t="s">
        <v>58</v>
      </c>
      <c r="AL13" s="29" t="s">
        <v>63</v>
      </c>
      <c r="AM13" s="29" t="s">
        <v>64</v>
      </c>
      <c r="AN13" s="29" t="s">
        <v>65</v>
      </c>
      <c r="AO13" s="30" t="n">
        <v>1</v>
      </c>
      <c r="AP13" s="30" t="n">
        <v>2</v>
      </c>
      <c r="AQ13" s="30" t="n">
        <v>3</v>
      </c>
      <c r="AR13" s="30" t="n">
        <v>4</v>
      </c>
      <c r="AS13" s="30" t="n">
        <v>5</v>
      </c>
      <c r="AT13" s="30" t="n">
        <v>6</v>
      </c>
      <c r="AU13" s="29" t="str">
        <f aca="false">IF(COUNTIF($C13:$AH13,"X")=1,"-","X")</f>
        <v>-</v>
      </c>
      <c r="AV13" s="29" t="str">
        <f aca="false">IF(COUNTIF($C13:$AH13,"C")=1,"-","C")</f>
        <v>-</v>
      </c>
      <c r="AW13" s="29" t="str">
        <f aca="false">IF(COUNTIF($C13:$AH13,"M")=1,"-","M")</f>
        <v>-</v>
      </c>
      <c r="AX13" s="29" t="str">
        <f aca="false">IF(COUNTIF($C13:$AH13,"W")=1,"-","W")</f>
        <v>-</v>
      </c>
      <c r="AY13" s="29" t="str">
        <f aca="false">IF((AZ13+1)*AZ13/2=SUMIF(C13:AH13,"&gt;=1"),"-",((AZ13+1)*AZ13/2-SUMIF(C13:AH13,"&gt;=1")))</f>
        <v>-</v>
      </c>
      <c r="AZ13" s="29" t="n">
        <f aca="false">IF(COUNTIF(BA13:BF13,"&gt;0")=COUNTIF(BJ13:BO13,"&gt; "),COUNTIF(BA13:BF13,"&gt;0"),"0")</f>
        <v>3</v>
      </c>
      <c r="BA13" s="27" t="n">
        <v>7</v>
      </c>
      <c r="BB13" s="27" t="n">
        <v>7</v>
      </c>
      <c r="BC13" s="27" t="n">
        <v>7</v>
      </c>
      <c r="BD13" s="27"/>
      <c r="BE13" s="27"/>
      <c r="BF13" s="27"/>
      <c r="BG13" s="29" t="n">
        <f aca="false">IF(SUMIF(BA13:BF13,"&gt;=1",BA13:BF13)+AZ13&gt;25,"X",(SUMIF(BA13:BF13,"&gt;=1",BA13:BF13)+AZ13))</f>
        <v>24</v>
      </c>
      <c r="BH13" s="29" t="s">
        <v>66</v>
      </c>
      <c r="BI13" s="26" t="s">
        <v>111</v>
      </c>
      <c r="BJ13" s="31" t="s">
        <v>112</v>
      </c>
      <c r="BK13" s="31" t="s">
        <v>113</v>
      </c>
      <c r="BL13" s="31" t="s">
        <v>114</v>
      </c>
      <c r="BM13" s="32" t="str">
        <f aca="false">" "</f>
        <v> </v>
      </c>
      <c r="BN13" s="32" t="str">
        <f aca="false">" "</f>
        <v> </v>
      </c>
      <c r="BO13" s="32" t="str">
        <f aca="false">" "</f>
        <v> </v>
      </c>
      <c r="BP13" s="32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</row>
    <row r="14" customFormat="false" ht="17.1" hidden="false" customHeight="true" outlineLevel="0" collapsed="false">
      <c r="A14" s="18" t="n">
        <f aca="false">A13+1</f>
        <v>3337</v>
      </c>
      <c r="B14" s="19" t="n">
        <f aca="false">B13+7</f>
        <v>40796</v>
      </c>
      <c r="C14" s="27" t="s">
        <v>59</v>
      </c>
      <c r="D14" s="27" t="n">
        <v>1</v>
      </c>
      <c r="E14" s="27"/>
      <c r="F14" s="27"/>
      <c r="G14" s="28" t="n">
        <v>2</v>
      </c>
      <c r="H14" s="36"/>
      <c r="I14" s="27"/>
      <c r="J14" s="27" t="s">
        <v>56</v>
      </c>
      <c r="K14" s="27" t="s">
        <v>57</v>
      </c>
      <c r="L14" s="27"/>
      <c r="M14" s="34"/>
      <c r="N14" s="27" t="n">
        <v>3</v>
      </c>
      <c r="O14" s="27" t="s">
        <v>56</v>
      </c>
      <c r="P14" s="27"/>
      <c r="Q14" s="27"/>
      <c r="R14" s="27" t="s">
        <v>60</v>
      </c>
      <c r="S14" s="27"/>
      <c r="T14" s="27"/>
      <c r="U14" s="27"/>
      <c r="V14" s="27" t="s">
        <v>61</v>
      </c>
      <c r="W14" s="35"/>
      <c r="X14" s="27"/>
      <c r="Y14" s="27" t="s">
        <v>56</v>
      </c>
      <c r="Z14" s="27" t="s">
        <v>63</v>
      </c>
      <c r="AA14" s="27" t="s">
        <v>56</v>
      </c>
      <c r="AB14" s="27" t="s">
        <v>58</v>
      </c>
      <c r="AC14" s="29"/>
      <c r="AD14" s="29"/>
      <c r="AE14" s="29"/>
      <c r="AF14" s="29"/>
      <c r="AG14" s="29"/>
      <c r="AH14" s="29"/>
      <c r="AI14" s="29" t="s">
        <v>61</v>
      </c>
      <c r="AJ14" s="29" t="s">
        <v>60</v>
      </c>
      <c r="AK14" s="29" t="s">
        <v>58</v>
      </c>
      <c r="AL14" s="29" t="s">
        <v>63</v>
      </c>
      <c r="AM14" s="29" t="s">
        <v>64</v>
      </c>
      <c r="AN14" s="29" t="s">
        <v>65</v>
      </c>
      <c r="AO14" s="30" t="n">
        <v>1</v>
      </c>
      <c r="AP14" s="30" t="n">
        <v>2</v>
      </c>
      <c r="AQ14" s="30" t="n">
        <v>3</v>
      </c>
      <c r="AR14" s="30" t="n">
        <v>4</v>
      </c>
      <c r="AS14" s="30" t="n">
        <v>5</v>
      </c>
      <c r="AT14" s="30" t="n">
        <v>6</v>
      </c>
      <c r="AU14" s="29" t="str">
        <f aca="false">IF(COUNTIF($C14:$AH14,"X")=1,"-","X")</f>
        <v>-</v>
      </c>
      <c r="AV14" s="29" t="str">
        <f aca="false">IF(COUNTIF($C14:$AH14,"C")=1,"-","C")</f>
        <v>-</v>
      </c>
      <c r="AW14" s="29" t="str">
        <f aca="false">IF(COUNTIF($C14:$AH14,"M")=1,"-","M")</f>
        <v>-</v>
      </c>
      <c r="AX14" s="29" t="str">
        <f aca="false">IF(COUNTIF($C14:$AH14,"W")=1,"-","W")</f>
        <v>-</v>
      </c>
      <c r="AY14" s="29" t="str">
        <f aca="false">IF((AZ14+1)*AZ14/2=SUMIF(C14:AH14,"&gt;=1"),"-",((AZ14+1)*AZ14/2-SUMIF(C14:AH14,"&gt;=1")))</f>
        <v>-</v>
      </c>
      <c r="AZ14" s="29" t="n">
        <f aca="false">IF(COUNTIF(BA14:BF14,"&gt;0")=COUNTIF(BJ14:BO14,"&gt; "),COUNTIF(BA14:BF14,"&gt;0"),"0")</f>
        <v>3</v>
      </c>
      <c r="BA14" s="27" t="n">
        <v>8</v>
      </c>
      <c r="BB14" s="27" t="n">
        <v>7</v>
      </c>
      <c r="BC14" s="27" t="n">
        <v>6</v>
      </c>
      <c r="BD14" s="27"/>
      <c r="BE14" s="27"/>
      <c r="BF14" s="27"/>
      <c r="BG14" s="29" t="n">
        <f aca="false">IF(SUMIF(BA14:BF14,"&gt;=1",BA14:BF14)+AZ14&gt;25,"X",(SUMIF(BA14:BF14,"&gt;=1",BA14:BF14)+AZ14))</f>
        <v>24</v>
      </c>
      <c r="BH14" s="29" t="s">
        <v>66</v>
      </c>
      <c r="BI14" s="26" t="s">
        <v>115</v>
      </c>
      <c r="BJ14" s="31" t="s">
        <v>116</v>
      </c>
      <c r="BK14" s="31" t="s">
        <v>117</v>
      </c>
      <c r="BL14" s="31" t="s">
        <v>118</v>
      </c>
      <c r="BM14" s="32" t="str">
        <f aca="false">" "</f>
        <v> </v>
      </c>
      <c r="BN14" s="32" t="str">
        <f aca="false">" "</f>
        <v> </v>
      </c>
      <c r="BO14" s="32" t="str">
        <f aca="false">" "</f>
        <v> </v>
      </c>
      <c r="BP14" s="32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</row>
    <row r="15" customFormat="false" ht="17.1" hidden="false" customHeight="true" outlineLevel="0" collapsed="false">
      <c r="A15" s="18" t="n">
        <f aca="false">A14+1</f>
        <v>3338</v>
      </c>
      <c r="B15" s="19" t="n">
        <f aca="false">B14+7</f>
        <v>40803</v>
      </c>
      <c r="C15" s="27" t="s">
        <v>56</v>
      </c>
      <c r="D15" s="27"/>
      <c r="E15" s="27"/>
      <c r="F15" s="27" t="n">
        <v>1</v>
      </c>
      <c r="G15" s="28"/>
      <c r="H15" s="28"/>
      <c r="I15" s="27" t="n">
        <v>4</v>
      </c>
      <c r="J15" s="27" t="s">
        <v>56</v>
      </c>
      <c r="K15" s="27" t="s">
        <v>57</v>
      </c>
      <c r="L15" s="27"/>
      <c r="M15" s="34"/>
      <c r="N15" s="27"/>
      <c r="O15" s="27" t="s">
        <v>56</v>
      </c>
      <c r="P15" s="27" t="s">
        <v>58</v>
      </c>
      <c r="Q15" s="27"/>
      <c r="R15" s="27"/>
      <c r="S15" s="27" t="s">
        <v>60</v>
      </c>
      <c r="T15" s="27" t="n">
        <v>2</v>
      </c>
      <c r="U15" s="27"/>
      <c r="V15" s="27"/>
      <c r="W15" s="35" t="s">
        <v>61</v>
      </c>
      <c r="X15" s="27"/>
      <c r="Y15" s="27" t="n">
        <v>3</v>
      </c>
      <c r="Z15" s="27" t="s">
        <v>63</v>
      </c>
      <c r="AA15" s="27" t="s">
        <v>56</v>
      </c>
      <c r="AB15" s="27"/>
      <c r="AC15" s="29"/>
      <c r="AD15" s="29"/>
      <c r="AE15" s="29"/>
      <c r="AF15" s="29"/>
      <c r="AG15" s="29"/>
      <c r="AH15" s="29"/>
      <c r="AI15" s="29" t="s">
        <v>61</v>
      </c>
      <c r="AJ15" s="29" t="s">
        <v>60</v>
      </c>
      <c r="AK15" s="29" t="s">
        <v>58</v>
      </c>
      <c r="AL15" s="29" t="s">
        <v>63</v>
      </c>
      <c r="AM15" s="29" t="s">
        <v>64</v>
      </c>
      <c r="AN15" s="29" t="s">
        <v>65</v>
      </c>
      <c r="AO15" s="30" t="n">
        <v>1</v>
      </c>
      <c r="AP15" s="30" t="n">
        <v>2</v>
      </c>
      <c r="AQ15" s="30" t="n">
        <v>3</v>
      </c>
      <c r="AR15" s="30" t="n">
        <v>4</v>
      </c>
      <c r="AS15" s="30" t="n">
        <v>5</v>
      </c>
      <c r="AT15" s="30" t="n">
        <v>6</v>
      </c>
      <c r="AU15" s="29" t="str">
        <f aca="false">IF(COUNTIF($C15:$AH15,"X")=1,"-","X")</f>
        <v>-</v>
      </c>
      <c r="AV15" s="29" t="str">
        <f aca="false">IF(COUNTIF($C15:$AH15,"C")=1,"-","C")</f>
        <v>-</v>
      </c>
      <c r="AW15" s="29" t="str">
        <f aca="false">IF(COUNTIF($C15:$AH15,"M")=1,"-","M")</f>
        <v>-</v>
      </c>
      <c r="AX15" s="29" t="str">
        <f aca="false">IF(COUNTIF($C15:$AH15,"W")=1,"-","W")</f>
        <v>-</v>
      </c>
      <c r="AY15" s="29" t="str">
        <f aca="false">IF((AZ15+1)*AZ15/2=SUMIF(C15:AH15,"&gt;=1"),"-",((AZ15+1)*AZ15/2-SUMIF(C15:AH15,"&gt;=1")))</f>
        <v>-</v>
      </c>
      <c r="AZ15" s="29" t="n">
        <v>4</v>
      </c>
      <c r="BA15" s="27" t="n">
        <v>5</v>
      </c>
      <c r="BB15" s="27" t="n">
        <v>5</v>
      </c>
      <c r="BC15" s="27" t="n">
        <v>5</v>
      </c>
      <c r="BD15" s="27" t="n">
        <v>5</v>
      </c>
      <c r="BE15" s="27"/>
      <c r="BF15" s="27"/>
      <c r="BG15" s="29" t="n">
        <f aca="false">IF(SUMIF(BA15:BF15,"&gt;=1",BA15:BF15)+AZ15&gt;25,"X",(SUMIF(BA15:BF15,"&gt;=1",BA15:BF15)+AZ15))</f>
        <v>24</v>
      </c>
      <c r="BH15" s="29" t="s">
        <v>66</v>
      </c>
      <c r="BI15" s="26" t="s">
        <v>119</v>
      </c>
      <c r="BJ15" s="31" t="s">
        <v>120</v>
      </c>
      <c r="BK15" s="31" t="s">
        <v>121</v>
      </c>
      <c r="BL15" s="31" t="s">
        <v>122</v>
      </c>
      <c r="BM15" s="31" t="s">
        <v>123</v>
      </c>
      <c r="BN15" s="32" t="str">
        <f aca="false">" "</f>
        <v> </v>
      </c>
      <c r="BO15" s="32" t="str">
        <f aca="false">" "</f>
        <v> </v>
      </c>
      <c r="BP15" s="32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</row>
    <row r="16" customFormat="false" ht="17.1" hidden="false" customHeight="true" outlineLevel="0" collapsed="false">
      <c r="A16" s="18" t="n">
        <f aca="false">A15+1</f>
        <v>3339</v>
      </c>
      <c r="B16" s="19" t="n">
        <f aca="false">B15+7</f>
        <v>40810</v>
      </c>
      <c r="C16" s="27" t="s">
        <v>59</v>
      </c>
      <c r="D16" s="27"/>
      <c r="E16" s="27"/>
      <c r="F16" s="27"/>
      <c r="G16" s="28"/>
      <c r="H16" s="28"/>
      <c r="I16" s="27"/>
      <c r="J16" s="27" t="s">
        <v>56</v>
      </c>
      <c r="K16" s="27" t="s">
        <v>57</v>
      </c>
      <c r="L16" s="27" t="n">
        <v>4</v>
      </c>
      <c r="M16" s="34"/>
      <c r="N16" s="27"/>
      <c r="O16" s="27" t="s">
        <v>56</v>
      </c>
      <c r="P16" s="27" t="n">
        <v>3</v>
      </c>
      <c r="Q16" s="27" t="s">
        <v>58</v>
      </c>
      <c r="R16" s="27"/>
      <c r="S16" s="27"/>
      <c r="T16" s="27" t="s">
        <v>60</v>
      </c>
      <c r="U16" s="27" t="n">
        <v>2</v>
      </c>
      <c r="V16" s="27"/>
      <c r="W16" s="35"/>
      <c r="X16" s="27" t="s">
        <v>61</v>
      </c>
      <c r="Y16" s="27" t="s">
        <v>56</v>
      </c>
      <c r="Z16" s="27" t="s">
        <v>63</v>
      </c>
      <c r="AA16" s="27" t="s">
        <v>56</v>
      </c>
      <c r="AB16" s="27" t="n">
        <v>1</v>
      </c>
      <c r="AC16" s="29"/>
      <c r="AD16" s="29"/>
      <c r="AE16" s="29"/>
      <c r="AF16" s="29"/>
      <c r="AG16" s="29"/>
      <c r="AH16" s="29"/>
      <c r="AI16" s="29" t="s">
        <v>61</v>
      </c>
      <c r="AJ16" s="29" t="s">
        <v>60</v>
      </c>
      <c r="AK16" s="29" t="s">
        <v>58</v>
      </c>
      <c r="AL16" s="29" t="s">
        <v>63</v>
      </c>
      <c r="AM16" s="29" t="s">
        <v>64</v>
      </c>
      <c r="AN16" s="29" t="s">
        <v>65</v>
      </c>
      <c r="AO16" s="30" t="n">
        <v>1</v>
      </c>
      <c r="AP16" s="30" t="n">
        <v>2</v>
      </c>
      <c r="AQ16" s="30" t="n">
        <v>3</v>
      </c>
      <c r="AR16" s="30" t="n">
        <v>4</v>
      </c>
      <c r="AS16" s="30" t="n">
        <v>5</v>
      </c>
      <c r="AT16" s="30" t="n">
        <v>6</v>
      </c>
      <c r="AU16" s="29" t="str">
        <f aca="false">IF(COUNTIF($C16:$AH16,"X")=1,"-","X")</f>
        <v>-</v>
      </c>
      <c r="AV16" s="29" t="str">
        <f aca="false">IF(COUNTIF($C16:$AH16,"C")=1,"-","C")</f>
        <v>-</v>
      </c>
      <c r="AW16" s="29" t="str">
        <f aca="false">IF(COUNTIF($C16:$AH16,"M")=1,"-","M")</f>
        <v>-</v>
      </c>
      <c r="AX16" s="29" t="str">
        <f aca="false">IF(COUNTIF($C16:$AH16,"W")=1,"-","W")</f>
        <v>-</v>
      </c>
      <c r="AY16" s="29" t="str">
        <f aca="false">IF((AZ16+1)*AZ16/2=SUMIF(C16:AH16,"&gt;=1"),"-",((AZ16+1)*AZ16/2-SUMIF(C16:AH16,"&gt;=1")))</f>
        <v>-</v>
      </c>
      <c r="AZ16" s="29" t="n">
        <v>4</v>
      </c>
      <c r="BA16" s="27" t="n">
        <v>5</v>
      </c>
      <c r="BB16" s="27" t="n">
        <v>5</v>
      </c>
      <c r="BC16" s="27" t="n">
        <v>5</v>
      </c>
      <c r="BD16" s="27" t="n">
        <v>5</v>
      </c>
      <c r="BE16" s="27"/>
      <c r="BF16" s="27"/>
      <c r="BG16" s="29" t="n">
        <f aca="false">IF(SUMIF(BA16:BF16,"&gt;=1",BA16:BF16)+AZ16&gt;25,"X",(SUMIF(BA16:BF16,"&gt;=1",BA16:BF16)+AZ16))</f>
        <v>24</v>
      </c>
      <c r="BH16" s="29" t="s">
        <v>66</v>
      </c>
      <c r="BI16" s="26" t="s">
        <v>124</v>
      </c>
      <c r="BJ16" s="31" t="s">
        <v>125</v>
      </c>
      <c r="BK16" s="31" t="s">
        <v>126</v>
      </c>
      <c r="BL16" s="31" t="s">
        <v>127</v>
      </c>
      <c r="BM16" s="31" t="s">
        <v>128</v>
      </c>
      <c r="BN16" s="32" t="str">
        <f aca="false">" "</f>
        <v> </v>
      </c>
      <c r="BO16" s="32" t="str">
        <f aca="false">" "</f>
        <v> </v>
      </c>
      <c r="BP16" s="32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</row>
    <row r="17" customFormat="false" ht="17.1" hidden="false" customHeight="true" outlineLevel="0" collapsed="false">
      <c r="A17" s="18" t="n">
        <f aca="false">A16+1</f>
        <v>3340</v>
      </c>
      <c r="B17" s="19" t="n">
        <f aca="false">B16+7</f>
        <v>40817</v>
      </c>
      <c r="C17" s="27" t="n">
        <v>1</v>
      </c>
      <c r="D17" s="27" t="n">
        <v>4</v>
      </c>
      <c r="E17" s="27"/>
      <c r="F17" s="27"/>
      <c r="G17" s="28"/>
      <c r="H17" s="28"/>
      <c r="I17" s="27"/>
      <c r="J17" s="27" t="s">
        <v>56</v>
      </c>
      <c r="K17" s="27" t="s">
        <v>57</v>
      </c>
      <c r="L17" s="27" t="s">
        <v>61</v>
      </c>
      <c r="M17" s="34"/>
      <c r="N17" s="27"/>
      <c r="O17" s="27" t="s">
        <v>56</v>
      </c>
      <c r="P17" s="27"/>
      <c r="Q17" s="27" t="n">
        <v>2</v>
      </c>
      <c r="R17" s="27"/>
      <c r="S17" s="27" t="n">
        <v>3</v>
      </c>
      <c r="T17" s="27"/>
      <c r="U17" s="27" t="s">
        <v>60</v>
      </c>
      <c r="V17" s="27"/>
      <c r="W17" s="35"/>
      <c r="X17" s="27"/>
      <c r="Y17" s="27" t="s">
        <v>58</v>
      </c>
      <c r="Z17" s="27" t="s">
        <v>63</v>
      </c>
      <c r="AA17" s="27" t="s">
        <v>56</v>
      </c>
      <c r="AB17" s="27"/>
      <c r="AC17" s="29"/>
      <c r="AD17" s="29"/>
      <c r="AE17" s="29"/>
      <c r="AF17" s="29"/>
      <c r="AG17" s="29"/>
      <c r="AH17" s="29"/>
      <c r="AI17" s="29" t="s">
        <v>61</v>
      </c>
      <c r="AJ17" s="29" t="s">
        <v>60</v>
      </c>
      <c r="AK17" s="29" t="s">
        <v>58</v>
      </c>
      <c r="AL17" s="29" t="s">
        <v>63</v>
      </c>
      <c r="AM17" s="29" t="s">
        <v>64</v>
      </c>
      <c r="AN17" s="29" t="s">
        <v>65</v>
      </c>
      <c r="AO17" s="30" t="n">
        <v>1</v>
      </c>
      <c r="AP17" s="30" t="n">
        <v>2</v>
      </c>
      <c r="AQ17" s="30" t="n">
        <v>3</v>
      </c>
      <c r="AR17" s="30" t="n">
        <v>4</v>
      </c>
      <c r="AS17" s="30" t="n">
        <v>5</v>
      </c>
      <c r="AT17" s="30" t="n">
        <v>6</v>
      </c>
      <c r="AU17" s="29" t="str">
        <f aca="false">IF(COUNTIF($C17:$AH17,"X")=1,"-","X")</f>
        <v>-</v>
      </c>
      <c r="AV17" s="29" t="str">
        <f aca="false">IF(COUNTIF($C17:$AH17,"C")=1,"-","C")</f>
        <v>-</v>
      </c>
      <c r="AW17" s="29" t="str">
        <f aca="false">IF(COUNTIF($C17:$AH17,"M")=1,"-","M")</f>
        <v>-</v>
      </c>
      <c r="AX17" s="29" t="str">
        <f aca="false">IF(COUNTIF($C17:$AH17,"W")=1,"-","W")</f>
        <v>-</v>
      </c>
      <c r="AY17" s="29" t="str">
        <f aca="false">IF((AZ17+1)*AZ17/2=SUMIF(C17:AH17,"&gt;=1"),"-",((AZ17+1)*AZ17/2-SUMIF(C17:AH17,"&gt;=1")))</f>
        <v>-</v>
      </c>
      <c r="AZ17" s="29" t="n">
        <v>4</v>
      </c>
      <c r="BA17" s="27" t="n">
        <v>5</v>
      </c>
      <c r="BB17" s="27" t="n">
        <v>5</v>
      </c>
      <c r="BC17" s="27" t="n">
        <v>5</v>
      </c>
      <c r="BD17" s="27" t="n">
        <v>5</v>
      </c>
      <c r="BE17" s="27"/>
      <c r="BF17" s="27"/>
      <c r="BG17" s="29" t="n">
        <f aca="false">IF(SUMIF(BA17:BF17,"&gt;=1",BA17:BF17)+AZ17&gt;25,"X",(SUMIF(BA17:BF17,"&gt;=1",BA17:BF17)+AZ17))</f>
        <v>24</v>
      </c>
      <c r="BH17" s="29" t="s">
        <v>129</v>
      </c>
      <c r="BI17" s="26" t="s">
        <v>130</v>
      </c>
      <c r="BJ17" s="31" t="s">
        <v>131</v>
      </c>
      <c r="BK17" s="31" t="s">
        <v>132</v>
      </c>
      <c r="BL17" s="31" t="s">
        <v>133</v>
      </c>
      <c r="BM17" s="32" t="s">
        <v>134</v>
      </c>
      <c r="BN17" s="32" t="str">
        <f aca="false">" "</f>
        <v> </v>
      </c>
      <c r="BO17" s="32" t="str">
        <f aca="false">" "</f>
        <v> </v>
      </c>
      <c r="BP17" s="32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</row>
    <row r="18" customFormat="false" ht="17.1" hidden="false" customHeight="true" outlineLevel="0" collapsed="false">
      <c r="A18" s="18" t="n">
        <f aca="false">A17+1</f>
        <v>3341</v>
      </c>
      <c r="B18" s="19" t="n">
        <f aca="false">B17+7</f>
        <v>40824</v>
      </c>
      <c r="C18" s="27" t="s">
        <v>59</v>
      </c>
      <c r="D18" s="27" t="s">
        <v>58</v>
      </c>
      <c r="E18" s="27"/>
      <c r="F18" s="27" t="s">
        <v>61</v>
      </c>
      <c r="G18" s="36"/>
      <c r="H18" s="28" t="n">
        <v>3</v>
      </c>
      <c r="I18" s="27"/>
      <c r="J18" s="27" t="s">
        <v>56</v>
      </c>
      <c r="K18" s="27" t="s">
        <v>57</v>
      </c>
      <c r="L18" s="27"/>
      <c r="M18" s="34"/>
      <c r="N18" s="27"/>
      <c r="O18" s="27" t="s">
        <v>56</v>
      </c>
      <c r="P18" s="27"/>
      <c r="Q18" s="27"/>
      <c r="R18" s="27" t="n">
        <v>4</v>
      </c>
      <c r="S18" s="27"/>
      <c r="T18" s="27" t="n">
        <v>1</v>
      </c>
      <c r="U18" s="27"/>
      <c r="V18" s="27" t="s">
        <v>60</v>
      </c>
      <c r="W18" s="35"/>
      <c r="X18" s="27" t="n">
        <v>2</v>
      </c>
      <c r="Y18" s="27" t="s">
        <v>62</v>
      </c>
      <c r="Z18" s="27" t="s">
        <v>63</v>
      </c>
      <c r="AA18" s="27" t="s">
        <v>56</v>
      </c>
      <c r="AB18" s="27"/>
      <c r="AC18" s="29"/>
      <c r="AD18" s="29"/>
      <c r="AE18" s="29"/>
      <c r="AF18" s="29"/>
      <c r="AG18" s="29"/>
      <c r="AH18" s="29"/>
      <c r="AI18" s="29" t="s">
        <v>61</v>
      </c>
      <c r="AJ18" s="29" t="s">
        <v>60</v>
      </c>
      <c r="AK18" s="29" t="s">
        <v>58</v>
      </c>
      <c r="AL18" s="29" t="s">
        <v>63</v>
      </c>
      <c r="AM18" s="29" t="s">
        <v>64</v>
      </c>
      <c r="AN18" s="29" t="s">
        <v>65</v>
      </c>
      <c r="AO18" s="30" t="n">
        <v>1</v>
      </c>
      <c r="AP18" s="30" t="n">
        <v>2</v>
      </c>
      <c r="AQ18" s="30" t="n">
        <v>3</v>
      </c>
      <c r="AR18" s="30" t="n">
        <v>4</v>
      </c>
      <c r="AS18" s="30" t="n">
        <v>5</v>
      </c>
      <c r="AT18" s="30" t="n">
        <v>6</v>
      </c>
      <c r="AU18" s="29" t="str">
        <f aca="false">IF(COUNTIF($C18:$AH18,"X")=1,"-","X")</f>
        <v>-</v>
      </c>
      <c r="AV18" s="29" t="str">
        <f aca="false">IF(COUNTIF($C18:$AH18,"C")=1,"-","C")</f>
        <v>-</v>
      </c>
      <c r="AW18" s="29" t="str">
        <f aca="false">IF(COUNTIF($C18:$AH18,"M")=1,"-","M")</f>
        <v>-</v>
      </c>
      <c r="AX18" s="29" t="str">
        <f aca="false">IF(COUNTIF($C18:$AH18,"W")=1,"-","W")</f>
        <v>-</v>
      </c>
      <c r="AY18" s="29" t="str">
        <f aca="false">IF((AZ18+1)*AZ18/2=SUMIF(C18:AH18,"&gt;=1"),"-",((AZ18+1)*AZ18/2-SUMIF(C18:AH18,"&gt;=1")))</f>
        <v>-</v>
      </c>
      <c r="AZ18" s="29" t="n">
        <v>4</v>
      </c>
      <c r="BA18" s="27" t="n">
        <v>5</v>
      </c>
      <c r="BB18" s="27" t="n">
        <v>5</v>
      </c>
      <c r="BC18" s="27" t="n">
        <v>5</v>
      </c>
      <c r="BD18" s="27" t="n">
        <v>5</v>
      </c>
      <c r="BE18" s="27"/>
      <c r="BF18" s="27"/>
      <c r="BG18" s="29" t="n">
        <f aca="false">IF(SUMIF(BA18:BF18,"&gt;=1",BA18:BF18)+AZ18&gt;25,"X",(SUMIF(BA18:BF18,"&gt;=1",BA18:BF18)+AZ18))</f>
        <v>24</v>
      </c>
      <c r="BH18" s="29" t="s">
        <v>66</v>
      </c>
      <c r="BI18" s="26" t="s">
        <v>135</v>
      </c>
      <c r="BJ18" s="31" t="s">
        <v>136</v>
      </c>
      <c r="BK18" s="31" t="s">
        <v>137</v>
      </c>
      <c r="BL18" s="31" t="s">
        <v>138</v>
      </c>
      <c r="BM18" s="31" t="s">
        <v>139</v>
      </c>
      <c r="BN18" s="32" t="str">
        <f aca="false">" "</f>
        <v> </v>
      </c>
      <c r="BO18" s="32" t="str">
        <f aca="false">" "</f>
        <v> </v>
      </c>
      <c r="BP18" s="32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</row>
    <row r="19" customFormat="false" ht="17.1" hidden="false" customHeight="true" outlineLevel="0" collapsed="false">
      <c r="A19" s="18" t="n">
        <f aca="false">A18+1</f>
        <v>3342</v>
      </c>
      <c r="B19" s="19" t="n">
        <f aca="false">B18+7</f>
        <v>40831</v>
      </c>
      <c r="C19" s="27" t="s">
        <v>56</v>
      </c>
      <c r="D19" s="27" t="n">
        <v>1</v>
      </c>
      <c r="E19" s="27" t="s">
        <v>58</v>
      </c>
      <c r="F19" s="27" t="n">
        <v>3</v>
      </c>
      <c r="G19" s="28"/>
      <c r="H19" s="27" t="s">
        <v>61</v>
      </c>
      <c r="I19" s="27"/>
      <c r="J19" s="27" t="s">
        <v>56</v>
      </c>
      <c r="K19" s="27" t="s">
        <v>57</v>
      </c>
      <c r="L19" s="27"/>
      <c r="M19" s="34"/>
      <c r="N19" s="27" t="n">
        <v>2</v>
      </c>
      <c r="O19" s="27" t="s">
        <v>56</v>
      </c>
      <c r="P19" s="27"/>
      <c r="Q19" s="27"/>
      <c r="R19" s="27"/>
      <c r="S19" s="27"/>
      <c r="T19" s="27" t="s">
        <v>56</v>
      </c>
      <c r="U19" s="27"/>
      <c r="V19" s="27"/>
      <c r="W19" s="35"/>
      <c r="X19" s="27" t="s">
        <v>60</v>
      </c>
      <c r="Y19" s="27" t="s">
        <v>62</v>
      </c>
      <c r="Z19" s="27" t="s">
        <v>63</v>
      </c>
      <c r="AA19" s="27" t="s">
        <v>56</v>
      </c>
      <c r="AB19" s="27"/>
      <c r="AC19" s="29"/>
      <c r="AD19" s="29"/>
      <c r="AE19" s="29"/>
      <c r="AF19" s="29"/>
      <c r="AG19" s="29"/>
      <c r="AH19" s="29"/>
      <c r="AI19" s="29" t="s">
        <v>61</v>
      </c>
      <c r="AJ19" s="29" t="s">
        <v>60</v>
      </c>
      <c r="AK19" s="29" t="s">
        <v>58</v>
      </c>
      <c r="AL19" s="29" t="s">
        <v>63</v>
      </c>
      <c r="AM19" s="29" t="s">
        <v>64</v>
      </c>
      <c r="AN19" s="29" t="s">
        <v>65</v>
      </c>
      <c r="AO19" s="30" t="n">
        <v>1</v>
      </c>
      <c r="AP19" s="30" t="n">
        <v>2</v>
      </c>
      <c r="AQ19" s="30" t="n">
        <v>3</v>
      </c>
      <c r="AR19" s="30" t="n">
        <v>4</v>
      </c>
      <c r="AS19" s="30" t="n">
        <v>5</v>
      </c>
      <c r="AT19" s="30" t="n">
        <v>6</v>
      </c>
      <c r="AU19" s="29" t="str">
        <f aca="false">IF(COUNTIF($C19:$AH19,"X")=1,"-","X")</f>
        <v>-</v>
      </c>
      <c r="AV19" s="29" t="str">
        <f aca="false">IF(COUNTIF($C19:$AH19,"C")=1,"-","C")</f>
        <v>-</v>
      </c>
      <c r="AW19" s="29" t="str">
        <f aca="false">IF(COUNTIF($C19:$AH19,"M")=1,"-","M")</f>
        <v>-</v>
      </c>
      <c r="AX19" s="29" t="str">
        <f aca="false">IF(COUNTIF($C19:$AH19,"W")=1,"-","W")</f>
        <v>-</v>
      </c>
      <c r="AY19" s="29" t="str">
        <f aca="false">IF((AZ19+1)*AZ19/2=SUMIF(C19:AH19,"&gt;=1"),"-",((AZ19+1)*AZ19/2-SUMIF(C19:AH19,"&gt;=1")))</f>
        <v>-</v>
      </c>
      <c r="AZ19" s="29" t="n">
        <f aca="false">IF(COUNTIF(BA19:BF19,"&gt;0")=COUNTIF(BJ19:BO19,"&gt; "),COUNTIF(BA19:BF19,"&gt;0"),"0")</f>
        <v>3</v>
      </c>
      <c r="BA19" s="27" t="n">
        <v>7</v>
      </c>
      <c r="BB19" s="27" t="n">
        <v>7</v>
      </c>
      <c r="BC19" s="27" t="n">
        <v>7</v>
      </c>
      <c r="BD19" s="27"/>
      <c r="BE19" s="27"/>
      <c r="BF19" s="27"/>
      <c r="BG19" s="29" t="n">
        <f aca="false">IF(SUMIF(BA19:BF19,"&gt;=1",BA19:BF19)+AZ19&gt;25,"X",(SUMIF(BA19:BF19,"&gt;=1",BA19:BF19)+AZ19))</f>
        <v>24</v>
      </c>
      <c r="BH19" s="29" t="s">
        <v>66</v>
      </c>
      <c r="BI19" s="26" t="s">
        <v>140</v>
      </c>
      <c r="BJ19" s="31" t="s">
        <v>141</v>
      </c>
      <c r="BK19" s="31" t="s">
        <v>142</v>
      </c>
      <c r="BL19" s="31" t="s">
        <v>143</v>
      </c>
      <c r="BM19" s="32" t="str">
        <f aca="false">" "</f>
        <v> </v>
      </c>
      <c r="BN19" s="32" t="str">
        <f aca="false">" "</f>
        <v> </v>
      </c>
      <c r="BO19" s="32" t="str">
        <f aca="false">" "</f>
        <v> </v>
      </c>
      <c r="BP19" s="32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</row>
    <row r="20" customFormat="false" ht="17.1" hidden="false" customHeight="true" outlineLevel="0" collapsed="false">
      <c r="A20" s="18" t="n">
        <f aca="false">A19+1</f>
        <v>3343</v>
      </c>
      <c r="B20" s="19" t="n">
        <f aca="false">B19+7</f>
        <v>40838</v>
      </c>
      <c r="C20" s="27" t="s">
        <v>59</v>
      </c>
      <c r="D20" s="27" t="s">
        <v>60</v>
      </c>
      <c r="E20" s="27"/>
      <c r="F20" s="27" t="s">
        <v>58</v>
      </c>
      <c r="G20" s="36"/>
      <c r="H20" s="36"/>
      <c r="I20" s="27"/>
      <c r="J20" s="27" t="s">
        <v>56</v>
      </c>
      <c r="K20" s="27" t="s">
        <v>57</v>
      </c>
      <c r="L20" s="27"/>
      <c r="M20" s="34"/>
      <c r="N20" s="27"/>
      <c r="O20" s="27" t="s">
        <v>56</v>
      </c>
      <c r="P20" s="27"/>
      <c r="Q20" s="27"/>
      <c r="R20" s="27"/>
      <c r="S20" s="27"/>
      <c r="T20" s="27"/>
      <c r="U20" s="27"/>
      <c r="V20" s="36"/>
      <c r="W20" s="35"/>
      <c r="X20" s="27"/>
      <c r="Y20" s="27" t="s">
        <v>62</v>
      </c>
      <c r="Z20" s="27" t="s">
        <v>63</v>
      </c>
      <c r="AA20" s="27" t="s">
        <v>56</v>
      </c>
      <c r="AB20" s="27" t="s">
        <v>61</v>
      </c>
      <c r="AC20" s="29" t="n">
        <v>1</v>
      </c>
      <c r="AD20" s="29" t="n">
        <v>2</v>
      </c>
      <c r="AE20" s="29" t="n">
        <v>3</v>
      </c>
      <c r="AF20" s="29" t="n">
        <v>4</v>
      </c>
      <c r="AG20" s="29" t="n">
        <v>5</v>
      </c>
      <c r="AH20" s="29" t="n">
        <v>6</v>
      </c>
      <c r="AI20" s="29" t="s">
        <v>61</v>
      </c>
      <c r="AJ20" s="29" t="s">
        <v>60</v>
      </c>
      <c r="AK20" s="29" t="s">
        <v>58</v>
      </c>
      <c r="AL20" s="29" t="s">
        <v>63</v>
      </c>
      <c r="AM20" s="29" t="s">
        <v>64</v>
      </c>
      <c r="AN20" s="29" t="s">
        <v>65</v>
      </c>
      <c r="AO20" s="30" t="n">
        <v>1</v>
      </c>
      <c r="AP20" s="30" t="n">
        <v>2</v>
      </c>
      <c r="AQ20" s="30" t="n">
        <v>3</v>
      </c>
      <c r="AR20" s="30" t="n">
        <v>4</v>
      </c>
      <c r="AS20" s="30" t="n">
        <v>5</v>
      </c>
      <c r="AT20" s="30" t="n">
        <v>6</v>
      </c>
      <c r="AU20" s="29" t="str">
        <f aca="false">IF(COUNTIF($C20:$AH20,"X")=1,"-","X")</f>
        <v>-</v>
      </c>
      <c r="AV20" s="29" t="str">
        <f aca="false">IF(COUNTIF($C20:$AH20,"C")=1,"-","C")</f>
        <v>-</v>
      </c>
      <c r="AW20" s="29" t="str">
        <f aca="false">IF(COUNTIF($C20:$AH20,"M")=1,"-","M")</f>
        <v>-</v>
      </c>
      <c r="AX20" s="29" t="str">
        <f aca="false">IF(COUNTIF($C20:$AH20,"W")=1,"-","W")</f>
        <v>-</v>
      </c>
      <c r="AY20" s="29" t="str">
        <f aca="false">IF((AZ20+1)*AZ20/2=SUMIF(C20:AH20,"&gt;=1"),"-",((AZ20+1)*AZ20/2-SUMIF(C20:AH20,"&gt;=1")))</f>
        <v>-</v>
      </c>
      <c r="AZ20" s="29" t="n">
        <v>6</v>
      </c>
      <c r="BA20" s="27" t="n">
        <v>3</v>
      </c>
      <c r="BB20" s="27" t="n">
        <v>3</v>
      </c>
      <c r="BC20" s="27" t="n">
        <v>3</v>
      </c>
      <c r="BD20" s="27" t="n">
        <v>3</v>
      </c>
      <c r="BE20" s="27" t="n">
        <v>3</v>
      </c>
      <c r="BF20" s="27" t="n">
        <v>3</v>
      </c>
      <c r="BG20" s="29" t="n">
        <f aca="false">IF(SUMIF(BA20:BF20,"&gt;=1",BA20:BF20)+AZ20&gt;25,"X",(SUMIF(BA20:BF20,"&gt;=1",BA20:BF20)+AZ20))</f>
        <v>24</v>
      </c>
      <c r="BH20" s="29" t="s">
        <v>66</v>
      </c>
      <c r="BI20" s="26" t="s">
        <v>144</v>
      </c>
      <c r="BJ20" s="31" t="s">
        <v>145</v>
      </c>
      <c r="BK20" s="31" t="s">
        <v>146</v>
      </c>
      <c r="BL20" s="31" t="s">
        <v>147</v>
      </c>
      <c r="BM20" s="31" t="s">
        <v>148</v>
      </c>
      <c r="BN20" s="31" t="s">
        <v>149</v>
      </c>
      <c r="BO20" s="31" t="s">
        <v>150</v>
      </c>
      <c r="BP20" s="32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</row>
    <row r="21" customFormat="false" ht="17.1" hidden="false" customHeight="true" outlineLevel="0" collapsed="false">
      <c r="A21" s="18" t="n">
        <f aca="false">A20+1</f>
        <v>3344</v>
      </c>
      <c r="B21" s="19" t="n">
        <f aca="false">B20+7</f>
        <v>40845</v>
      </c>
      <c r="C21" s="27"/>
      <c r="D21" s="27" t="s">
        <v>61</v>
      </c>
      <c r="E21" s="27" t="n">
        <v>1</v>
      </c>
      <c r="F21" s="27"/>
      <c r="G21" s="28" t="s">
        <v>58</v>
      </c>
      <c r="H21" s="36"/>
      <c r="I21" s="27" t="n">
        <v>2</v>
      </c>
      <c r="J21" s="27" t="s">
        <v>56</v>
      </c>
      <c r="K21" s="27" t="s">
        <v>57</v>
      </c>
      <c r="L21" s="27" t="n">
        <v>3</v>
      </c>
      <c r="M21" s="34"/>
      <c r="N21" s="27"/>
      <c r="O21" s="27" t="s">
        <v>56</v>
      </c>
      <c r="P21" s="27"/>
      <c r="Q21" s="27"/>
      <c r="R21" s="27"/>
      <c r="S21" s="27"/>
      <c r="T21" s="27" t="s">
        <v>60</v>
      </c>
      <c r="U21" s="27"/>
      <c r="V21" s="27" t="n">
        <v>4</v>
      </c>
      <c r="W21" s="35"/>
      <c r="X21" s="27"/>
      <c r="Y21" s="27" t="s">
        <v>62</v>
      </c>
      <c r="Z21" s="27" t="s">
        <v>63</v>
      </c>
      <c r="AA21" s="27" t="s">
        <v>56</v>
      </c>
      <c r="AB21" s="27"/>
      <c r="AC21" s="29"/>
      <c r="AD21" s="29"/>
      <c r="AE21" s="29"/>
      <c r="AF21" s="29"/>
      <c r="AG21" s="29"/>
      <c r="AH21" s="29"/>
      <c r="AI21" s="29" t="s">
        <v>61</v>
      </c>
      <c r="AJ21" s="29" t="s">
        <v>60</v>
      </c>
      <c r="AK21" s="29" t="s">
        <v>58</v>
      </c>
      <c r="AL21" s="29" t="s">
        <v>63</v>
      </c>
      <c r="AM21" s="29" t="s">
        <v>64</v>
      </c>
      <c r="AN21" s="29" t="s">
        <v>65</v>
      </c>
      <c r="AO21" s="30" t="n">
        <v>1</v>
      </c>
      <c r="AP21" s="30" t="n">
        <v>2</v>
      </c>
      <c r="AQ21" s="30" t="n">
        <v>3</v>
      </c>
      <c r="AR21" s="30" t="n">
        <v>4</v>
      </c>
      <c r="AS21" s="30" t="n">
        <v>5</v>
      </c>
      <c r="AT21" s="30" t="n">
        <v>6</v>
      </c>
      <c r="AU21" s="29" t="str">
        <f aca="false">IF(COUNTIF($C21:$AH21,"X")=1,"-","X")</f>
        <v>-</v>
      </c>
      <c r="AV21" s="29" t="str">
        <f aca="false">IF(COUNTIF($C21:$AH21,"C")=1,"-","C")</f>
        <v>-</v>
      </c>
      <c r="AW21" s="29" t="str">
        <f aca="false">IF(COUNTIF($C21:$AH21,"M")=1,"-","M")</f>
        <v>-</v>
      </c>
      <c r="AX21" s="29" t="str">
        <f aca="false">IF(COUNTIF($C21:$AH21,"W")=1,"-","W")</f>
        <v>-</v>
      </c>
      <c r="AY21" s="29" t="str">
        <f aca="false">IF((AZ21+1)*AZ21/2=SUMIF(C21:AH21,"&gt;=1"),"-",((AZ21+1)*AZ21/2-SUMIF(C21:AH21,"&gt;=1")))</f>
        <v>-</v>
      </c>
      <c r="AZ21" s="29" t="n">
        <v>4</v>
      </c>
      <c r="BA21" s="27" t="n">
        <v>5</v>
      </c>
      <c r="BB21" s="27" t="n">
        <v>5</v>
      </c>
      <c r="BC21" s="27" t="n">
        <v>5</v>
      </c>
      <c r="BD21" s="27" t="n">
        <v>5</v>
      </c>
      <c r="BE21" s="27"/>
      <c r="BF21" s="27"/>
      <c r="BG21" s="29" t="n">
        <f aca="false">IF(SUMIF(BA21:BF21,"&gt;=1",BA21:BF21)+AZ21&gt;25,"X",(SUMIF(BA21:BF21,"&gt;=1",BA21:BF21)+AZ21))</f>
        <v>24</v>
      </c>
      <c r="BH21" s="29" t="n">
        <v>5</v>
      </c>
      <c r="BI21" s="26" t="s">
        <v>151</v>
      </c>
      <c r="BJ21" s="31" t="s">
        <v>152</v>
      </c>
      <c r="BK21" s="31" t="s">
        <v>153</v>
      </c>
      <c r="BL21" s="31" t="s">
        <v>154</v>
      </c>
      <c r="BM21" s="32" t="s">
        <v>155</v>
      </c>
      <c r="BN21" s="32" t="str">
        <f aca="false">" "</f>
        <v> </v>
      </c>
      <c r="BO21" s="32" t="str">
        <f aca="false">" "</f>
        <v> </v>
      </c>
      <c r="BP21" s="32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</row>
    <row r="22" customFormat="false" ht="17.1" hidden="false" customHeight="true" outlineLevel="0" collapsed="false">
      <c r="A22" s="18" t="n">
        <f aca="false">A21+1</f>
        <v>3345</v>
      </c>
      <c r="B22" s="19" t="n">
        <f aca="false">B21+7</f>
        <v>40852</v>
      </c>
      <c r="C22" s="27" t="s">
        <v>60</v>
      </c>
      <c r="D22" s="27"/>
      <c r="E22" s="27"/>
      <c r="F22" s="27"/>
      <c r="G22" s="36"/>
      <c r="H22" s="28" t="s">
        <v>58</v>
      </c>
      <c r="I22" s="27"/>
      <c r="J22" s="27" t="s">
        <v>56</v>
      </c>
      <c r="K22" s="27" t="s">
        <v>57</v>
      </c>
      <c r="L22" s="27"/>
      <c r="M22" s="34"/>
      <c r="N22" s="27"/>
      <c r="O22" s="27" t="s">
        <v>56</v>
      </c>
      <c r="P22" s="27"/>
      <c r="Q22" s="27"/>
      <c r="R22" s="27"/>
      <c r="S22" s="27"/>
      <c r="T22" s="27"/>
      <c r="U22" s="27"/>
      <c r="V22" s="36"/>
      <c r="W22" s="35"/>
      <c r="X22" s="27"/>
      <c r="Y22" s="27" t="s">
        <v>61</v>
      </c>
      <c r="Z22" s="27" t="s">
        <v>63</v>
      </c>
      <c r="AA22" s="27" t="s">
        <v>56</v>
      </c>
      <c r="AB22" s="27"/>
      <c r="AC22" s="29" t="n">
        <v>1</v>
      </c>
      <c r="AD22" s="29" t="n">
        <v>2</v>
      </c>
      <c r="AE22" s="29" t="n">
        <v>3</v>
      </c>
      <c r="AF22" s="29" t="n">
        <v>4</v>
      </c>
      <c r="AG22" s="29" t="n">
        <v>5</v>
      </c>
      <c r="AH22" s="29" t="n">
        <v>6</v>
      </c>
      <c r="AI22" s="29" t="s">
        <v>61</v>
      </c>
      <c r="AJ22" s="29" t="s">
        <v>60</v>
      </c>
      <c r="AK22" s="29" t="s">
        <v>58</v>
      </c>
      <c r="AL22" s="29" t="s">
        <v>63</v>
      </c>
      <c r="AM22" s="29" t="s">
        <v>64</v>
      </c>
      <c r="AN22" s="29" t="s">
        <v>65</v>
      </c>
      <c r="AO22" s="30" t="n">
        <v>1</v>
      </c>
      <c r="AP22" s="30" t="n">
        <v>2</v>
      </c>
      <c r="AQ22" s="30" t="n">
        <v>3</v>
      </c>
      <c r="AR22" s="30" t="n">
        <v>4</v>
      </c>
      <c r="AS22" s="30" t="n">
        <v>5</v>
      </c>
      <c r="AT22" s="30" t="n">
        <v>6</v>
      </c>
      <c r="AU22" s="29" t="str">
        <f aca="false">IF(COUNTIF($C22:$AH22,"X")=1,"-","X")</f>
        <v>-</v>
      </c>
      <c r="AV22" s="29" t="str">
        <f aca="false">IF(COUNTIF($C22:$AH22,"C")=1,"-","C")</f>
        <v>-</v>
      </c>
      <c r="AW22" s="29" t="str">
        <f aca="false">IF(COUNTIF($C22:$AH22,"M")=1,"-","M")</f>
        <v>-</v>
      </c>
      <c r="AX22" s="29" t="str">
        <f aca="false">IF(COUNTIF($C22:$AH22,"W")=1,"-","W")</f>
        <v>-</v>
      </c>
      <c r="AY22" s="29" t="str">
        <f aca="false">IF((AZ22+1)*AZ22/2=SUMIF(C22:AH22,"&gt;=1"),"-",((AZ22+1)*AZ22/2-SUMIF(C22:AH22,"&gt;=1")))</f>
        <v>-</v>
      </c>
      <c r="AZ22" s="29" t="n">
        <f aca="false">IF(COUNTIF(BA22:BF22,"&gt;0")=COUNTIF(BJ22:BO22,"&gt; "),COUNTIF(BA22:BF22,"&gt;0"),"0")</f>
        <v>6</v>
      </c>
      <c r="BA22" s="27" t="n">
        <v>3</v>
      </c>
      <c r="BB22" s="27" t="n">
        <v>3</v>
      </c>
      <c r="BC22" s="27" t="n">
        <v>3</v>
      </c>
      <c r="BD22" s="27" t="n">
        <v>3</v>
      </c>
      <c r="BE22" s="27" t="n">
        <v>3</v>
      </c>
      <c r="BF22" s="27" t="n">
        <v>3</v>
      </c>
      <c r="BG22" s="29" t="n">
        <f aca="false">IF(SUMIF(BA22:BF22,"&gt;=1",BA22:BF22)+AZ22&gt;25,"X",(SUMIF(BA22:BF22,"&gt;=1",BA22:BF22)+AZ22))</f>
        <v>24</v>
      </c>
      <c r="BH22" s="29" t="s">
        <v>156</v>
      </c>
      <c r="BI22" s="26" t="s">
        <v>157</v>
      </c>
      <c r="BJ22" s="31" t="s">
        <v>158</v>
      </c>
      <c r="BK22" s="31" t="s">
        <v>159</v>
      </c>
      <c r="BL22" s="31" t="s">
        <v>160</v>
      </c>
      <c r="BM22" s="31" t="s">
        <v>161</v>
      </c>
      <c r="BN22" s="31" t="s">
        <v>162</v>
      </c>
      <c r="BO22" s="31" t="s">
        <v>163</v>
      </c>
      <c r="BP22" s="32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</row>
    <row r="23" customFormat="false" ht="17.1" hidden="false" customHeight="true" outlineLevel="0" collapsed="false">
      <c r="A23" s="18" t="n">
        <f aca="false">A22+1</f>
        <v>3346</v>
      </c>
      <c r="B23" s="19" t="n">
        <f aca="false">B22+7</f>
        <v>40859</v>
      </c>
      <c r="C23" s="27" t="s">
        <v>56</v>
      </c>
      <c r="D23" s="27"/>
      <c r="E23" s="27"/>
      <c r="F23" s="27"/>
      <c r="G23" s="28" t="n">
        <v>2</v>
      </c>
      <c r="H23" s="36"/>
      <c r="I23" s="27" t="s">
        <v>61</v>
      </c>
      <c r="J23" s="27" t="s">
        <v>56</v>
      </c>
      <c r="K23" s="27" t="s">
        <v>57</v>
      </c>
      <c r="L23" s="27"/>
      <c r="M23" s="34"/>
      <c r="N23" s="27"/>
      <c r="O23" s="27" t="s">
        <v>56</v>
      </c>
      <c r="P23" s="27"/>
      <c r="Q23" s="27"/>
      <c r="R23" s="27"/>
      <c r="S23" s="27" t="n">
        <v>1</v>
      </c>
      <c r="T23" s="27"/>
      <c r="U23" s="27"/>
      <c r="V23" s="36"/>
      <c r="W23" s="35" t="n">
        <v>3</v>
      </c>
      <c r="X23" s="27" t="s">
        <v>58</v>
      </c>
      <c r="Y23" s="27" t="s">
        <v>62</v>
      </c>
      <c r="Z23" s="27" t="s">
        <v>63</v>
      </c>
      <c r="AA23" s="27" t="s">
        <v>56</v>
      </c>
      <c r="AB23" s="27" t="s">
        <v>60</v>
      </c>
      <c r="AC23" s="29"/>
      <c r="AD23" s="29"/>
      <c r="AE23" s="29"/>
      <c r="AF23" s="29"/>
      <c r="AG23" s="29"/>
      <c r="AH23" s="29"/>
      <c r="AI23" s="29" t="s">
        <v>61</v>
      </c>
      <c r="AJ23" s="29" t="s">
        <v>60</v>
      </c>
      <c r="AK23" s="29" t="s">
        <v>58</v>
      </c>
      <c r="AL23" s="29" t="s">
        <v>63</v>
      </c>
      <c r="AM23" s="29" t="s">
        <v>64</v>
      </c>
      <c r="AN23" s="29" t="s">
        <v>65</v>
      </c>
      <c r="AO23" s="30" t="n">
        <v>1</v>
      </c>
      <c r="AP23" s="30" t="n">
        <v>2</v>
      </c>
      <c r="AQ23" s="30" t="n">
        <v>3</v>
      </c>
      <c r="AR23" s="30" t="n">
        <v>4</v>
      </c>
      <c r="AS23" s="30" t="n">
        <v>5</v>
      </c>
      <c r="AT23" s="30" t="n">
        <v>6</v>
      </c>
      <c r="AU23" s="29" t="str">
        <f aca="false">IF(COUNTIF($C23:$AH23,"X")=1,"-","X")</f>
        <v>-</v>
      </c>
      <c r="AV23" s="29" t="str">
        <f aca="false">IF(COUNTIF($C23:$AH23,"C")=1,"-","C")</f>
        <v>-</v>
      </c>
      <c r="AW23" s="29" t="str">
        <f aca="false">IF(COUNTIF($C23:$AH23,"M")=1,"-","M")</f>
        <v>-</v>
      </c>
      <c r="AX23" s="29" t="str">
        <f aca="false">IF(COUNTIF($C23:$AH23,"W")=1,"-","W")</f>
        <v>-</v>
      </c>
      <c r="AY23" s="29" t="str">
        <f aca="false">IF((AZ23+1)*AZ23/2=SUMIF(C23:AH23,"&gt;=1"),"-",((AZ23+1)*AZ23/2-SUMIF(C23:AH23,"&gt;=1")))</f>
        <v>-</v>
      </c>
      <c r="AZ23" s="29" t="n">
        <v>3</v>
      </c>
      <c r="BA23" s="27" t="n">
        <v>6</v>
      </c>
      <c r="BB23" s="27" t="n">
        <v>5</v>
      </c>
      <c r="BC23" s="27" t="n">
        <v>10</v>
      </c>
      <c r="BD23" s="27"/>
      <c r="BE23" s="27"/>
      <c r="BF23" s="27"/>
      <c r="BG23" s="29" t="n">
        <f aca="false">IF(SUMIF(BA23:BF23,"&gt;=1",BA23:BF23)+AZ23&gt;25,"X",(SUMIF(BA23:BF23,"&gt;=1",BA23:BF23)+AZ23))</f>
        <v>24</v>
      </c>
      <c r="BH23" s="29" t="s">
        <v>66</v>
      </c>
      <c r="BI23" s="26" t="s">
        <v>164</v>
      </c>
      <c r="BJ23" s="31" t="s">
        <v>165</v>
      </c>
      <c r="BK23" s="31" t="s">
        <v>166</v>
      </c>
      <c r="BL23" s="31" t="s">
        <v>167</v>
      </c>
      <c r="BM23" s="32" t="str">
        <f aca="false">" "</f>
        <v> </v>
      </c>
      <c r="BN23" s="32" t="str">
        <f aca="false">" "</f>
        <v> </v>
      </c>
      <c r="BO23" s="32" t="str">
        <f aca="false">" "</f>
        <v> </v>
      </c>
      <c r="BP23" s="32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</row>
    <row r="24" customFormat="false" ht="17.1" hidden="false" customHeight="true" outlineLevel="0" collapsed="false">
      <c r="A24" s="18" t="n">
        <f aca="false">A23+1</f>
        <v>3347</v>
      </c>
      <c r="B24" s="19" t="n">
        <f aca="false">B23+7</f>
        <v>40866</v>
      </c>
      <c r="C24" s="27" t="s">
        <v>56</v>
      </c>
      <c r="D24" s="27"/>
      <c r="E24" s="27" t="s">
        <v>60</v>
      </c>
      <c r="F24" s="27"/>
      <c r="G24" s="28"/>
      <c r="H24" s="36"/>
      <c r="I24" s="27"/>
      <c r="J24" s="27" t="s">
        <v>56</v>
      </c>
      <c r="K24" s="27" t="s">
        <v>57</v>
      </c>
      <c r="L24" s="27" t="s">
        <v>56</v>
      </c>
      <c r="M24" s="34"/>
      <c r="N24" s="27" t="s">
        <v>58</v>
      </c>
      <c r="O24" s="27" t="s">
        <v>56</v>
      </c>
      <c r="P24" s="27"/>
      <c r="Q24" s="27"/>
      <c r="R24" s="27" t="s">
        <v>61</v>
      </c>
      <c r="S24" s="27"/>
      <c r="T24" s="27"/>
      <c r="U24" s="27"/>
      <c r="V24" s="36"/>
      <c r="W24" s="35"/>
      <c r="X24" s="27"/>
      <c r="Y24" s="27" t="s">
        <v>62</v>
      </c>
      <c r="Z24" s="27" t="s">
        <v>63</v>
      </c>
      <c r="AA24" s="27"/>
      <c r="AB24" s="27"/>
      <c r="AC24" s="29" t="n">
        <v>1</v>
      </c>
      <c r="AD24" s="29" t="n">
        <v>2</v>
      </c>
      <c r="AE24" s="29" t="n">
        <v>3</v>
      </c>
      <c r="AF24" s="29" t="n">
        <v>4</v>
      </c>
      <c r="AG24" s="29" t="n">
        <v>5</v>
      </c>
      <c r="AH24" s="29" t="n">
        <v>6</v>
      </c>
      <c r="AI24" s="29" t="s">
        <v>61</v>
      </c>
      <c r="AJ24" s="29" t="s">
        <v>60</v>
      </c>
      <c r="AK24" s="29" t="s">
        <v>58</v>
      </c>
      <c r="AL24" s="29" t="s">
        <v>63</v>
      </c>
      <c r="AM24" s="29" t="s">
        <v>64</v>
      </c>
      <c r="AN24" s="29" t="s">
        <v>65</v>
      </c>
      <c r="AO24" s="30" t="n">
        <v>1</v>
      </c>
      <c r="AP24" s="30" t="n">
        <v>2</v>
      </c>
      <c r="AQ24" s="30" t="n">
        <v>3</v>
      </c>
      <c r="AR24" s="30" t="n">
        <v>4</v>
      </c>
      <c r="AS24" s="30" t="n">
        <v>5</v>
      </c>
      <c r="AT24" s="30" t="n">
        <v>6</v>
      </c>
      <c r="AU24" s="29" t="str">
        <f aca="false">IF(COUNTIF($C24:$AH24,"X")=1,"-","X")</f>
        <v>-</v>
      </c>
      <c r="AV24" s="29" t="str">
        <f aca="false">IF(COUNTIF($C24:$AH24,"C")=1,"-","C")</f>
        <v>-</v>
      </c>
      <c r="AW24" s="29" t="str">
        <f aca="false">IF(COUNTIF($C24:$AH24,"M")=1,"-","M")</f>
        <v>-</v>
      </c>
      <c r="AX24" s="29" t="str">
        <f aca="false">IF(COUNTIF($C24:$AH24,"W")=1,"-","W")</f>
        <v>-</v>
      </c>
      <c r="AY24" s="29" t="str">
        <f aca="false">IF((AZ24+1)*AZ24/2=SUMIF(C24:AH24,"&gt;=1"),"-",((AZ24+1)*AZ24/2-SUMIF(C24:AH24,"&gt;=1")))</f>
        <v>-</v>
      </c>
      <c r="AZ24" s="29" t="n">
        <f aca="false">IF(COUNTIF(BA24:BF24,"&gt;0")=COUNTIF(BJ24:BO24,"&gt; "),COUNTIF(BA24:BF24,"&gt;0"),"0")</f>
        <v>6</v>
      </c>
      <c r="BA24" s="27" t="n">
        <v>3</v>
      </c>
      <c r="BB24" s="27" t="n">
        <v>3</v>
      </c>
      <c r="BC24" s="27" t="n">
        <v>3</v>
      </c>
      <c r="BD24" s="27" t="n">
        <v>3</v>
      </c>
      <c r="BE24" s="27" t="n">
        <v>3</v>
      </c>
      <c r="BF24" s="27" t="n">
        <v>3</v>
      </c>
      <c r="BG24" s="29" t="n">
        <f aca="false">IF(SUMIF(BA24:BF24,"&gt;=1",BA24:BF24)+AZ24&gt;25,"X",(SUMIF(BA24:BF24,"&gt;=1",BA24:BF24)+AZ24))</f>
        <v>24</v>
      </c>
      <c r="BH24" s="29" t="s">
        <v>66</v>
      </c>
      <c r="BI24" s="26" t="s">
        <v>168</v>
      </c>
      <c r="BJ24" s="31" t="s">
        <v>169</v>
      </c>
      <c r="BK24" s="31" t="s">
        <v>170</v>
      </c>
      <c r="BL24" s="31" t="s">
        <v>171</v>
      </c>
      <c r="BM24" s="31" t="s">
        <v>172</v>
      </c>
      <c r="BN24" s="31" t="s">
        <v>173</v>
      </c>
      <c r="BO24" s="31" t="s">
        <v>174</v>
      </c>
      <c r="BP24" s="32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</row>
    <row r="25" customFormat="false" ht="17.1" hidden="false" customHeight="true" outlineLevel="0" collapsed="false">
      <c r="A25" s="18" t="n">
        <f aca="false">A24+1</f>
        <v>3348</v>
      </c>
      <c r="B25" s="19" t="n">
        <f aca="false">B24+7</f>
        <v>40873</v>
      </c>
      <c r="C25" s="27" t="s">
        <v>59</v>
      </c>
      <c r="D25" s="27"/>
      <c r="E25" s="27"/>
      <c r="F25" s="27" t="s">
        <v>60</v>
      </c>
      <c r="G25" s="36"/>
      <c r="H25" s="28" t="s">
        <v>61</v>
      </c>
      <c r="I25" s="27"/>
      <c r="J25" s="27" t="s">
        <v>56</v>
      </c>
      <c r="K25" s="27" t="s">
        <v>57</v>
      </c>
      <c r="L25" s="27" t="s">
        <v>56</v>
      </c>
      <c r="M25" s="34"/>
      <c r="N25" s="27"/>
      <c r="O25" s="27" t="s">
        <v>56</v>
      </c>
      <c r="P25" s="27" t="n">
        <v>3</v>
      </c>
      <c r="Q25" s="27"/>
      <c r="R25" s="27"/>
      <c r="S25" s="27"/>
      <c r="T25" s="27"/>
      <c r="U25" s="27" t="n">
        <v>2</v>
      </c>
      <c r="V25" s="36"/>
      <c r="W25" s="35" t="s">
        <v>58</v>
      </c>
      <c r="X25" s="27"/>
      <c r="Y25" s="27" t="s">
        <v>62</v>
      </c>
      <c r="Z25" s="27" t="s">
        <v>63</v>
      </c>
      <c r="AA25" s="27" t="n">
        <v>1</v>
      </c>
      <c r="AB25" s="27"/>
      <c r="AC25" s="29"/>
      <c r="AD25" s="29"/>
      <c r="AE25" s="29"/>
      <c r="AF25" s="29"/>
      <c r="AG25" s="29"/>
      <c r="AH25" s="29"/>
      <c r="AI25" s="29" t="s">
        <v>61</v>
      </c>
      <c r="AJ25" s="29" t="s">
        <v>60</v>
      </c>
      <c r="AK25" s="29" t="s">
        <v>58</v>
      </c>
      <c r="AL25" s="29" t="s">
        <v>63</v>
      </c>
      <c r="AM25" s="29" t="s">
        <v>64</v>
      </c>
      <c r="AN25" s="29" t="s">
        <v>65</v>
      </c>
      <c r="AO25" s="30" t="n">
        <v>1</v>
      </c>
      <c r="AP25" s="30" t="n">
        <v>2</v>
      </c>
      <c r="AQ25" s="30" t="n">
        <v>3</v>
      </c>
      <c r="AR25" s="30" t="n">
        <v>4</v>
      </c>
      <c r="AS25" s="30" t="n">
        <v>5</v>
      </c>
      <c r="AT25" s="30" t="n">
        <v>6</v>
      </c>
      <c r="AU25" s="29" t="str">
        <f aca="false">IF(COUNTIF($C25:$AH25,"X")=1,"-","X")</f>
        <v>-</v>
      </c>
      <c r="AV25" s="29" t="str">
        <f aca="false">IF(COUNTIF($C25:$AH25,"C")=1,"-","C")</f>
        <v>-</v>
      </c>
      <c r="AW25" s="29" t="str">
        <f aca="false">IF(COUNTIF($C25:$AH25,"M")=1,"-","M")</f>
        <v>-</v>
      </c>
      <c r="AX25" s="29" t="str">
        <f aca="false">IF(COUNTIF($C25:$AH25,"W")=1,"-","W")</f>
        <v>-</v>
      </c>
      <c r="AY25" s="29" t="str">
        <f aca="false">IF((AZ25+1)*AZ25/2=SUMIF(C25:AH25,"&gt;=1"),"-",((AZ25+1)*AZ25/2-SUMIF(C25:AH25,"&gt;=1")))</f>
        <v>-</v>
      </c>
      <c r="AZ25" s="29" t="n">
        <f aca="false">IF(COUNTIF(BA25:BF25,"&gt;0")=COUNTIF(BJ25:BO25,"&gt; "),COUNTIF(BA25:BF25,"&gt;0"),"0")</f>
        <v>3</v>
      </c>
      <c r="BA25" s="27" t="n">
        <v>7</v>
      </c>
      <c r="BB25" s="27" t="n">
        <v>7</v>
      </c>
      <c r="BC25" s="27" t="n">
        <v>7</v>
      </c>
      <c r="BD25" s="27"/>
      <c r="BE25" s="27"/>
      <c r="BF25" s="27"/>
      <c r="BG25" s="29" t="n">
        <f aca="false">IF(SUMIF(BA25:BF25,"&gt;=1",BA25:BF25)+AZ25&gt;25,"X",(SUMIF(BA25:BF25,"&gt;=1",BA25:BF25)+AZ25))</f>
        <v>24</v>
      </c>
      <c r="BH25" s="29" t="s">
        <v>66</v>
      </c>
      <c r="BI25" s="26" t="s">
        <v>92</v>
      </c>
      <c r="BJ25" s="31" t="s">
        <v>93</v>
      </c>
      <c r="BK25" s="31" t="s">
        <v>94</v>
      </c>
      <c r="BL25" s="31" t="s">
        <v>95</v>
      </c>
      <c r="BM25" s="31"/>
      <c r="BN25" s="32" t="str">
        <f aca="false">" "</f>
        <v> </v>
      </c>
      <c r="BO25" s="32" t="str">
        <f aca="false">" "</f>
        <v> </v>
      </c>
      <c r="BP25" s="32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</row>
    <row r="26" customFormat="false" ht="17.1" hidden="false" customHeight="true" outlineLevel="0" collapsed="false">
      <c r="A26" s="18" t="n">
        <f aca="false">A25+1</f>
        <v>3349</v>
      </c>
      <c r="B26" s="19" t="n">
        <f aca="false">B25+7</f>
        <v>40880</v>
      </c>
      <c r="C26" s="27" t="s">
        <v>59</v>
      </c>
      <c r="D26" s="27" t="n">
        <v>1</v>
      </c>
      <c r="E26" s="27" t="s">
        <v>61</v>
      </c>
      <c r="F26" s="27"/>
      <c r="G26" s="36"/>
      <c r="H26" s="28" t="n">
        <v>2</v>
      </c>
      <c r="I26" s="27" t="s">
        <v>60</v>
      </c>
      <c r="J26" s="27" t="s">
        <v>56</v>
      </c>
      <c r="K26" s="27" t="s">
        <v>57</v>
      </c>
      <c r="L26" s="27" t="s">
        <v>56</v>
      </c>
      <c r="M26" s="34"/>
      <c r="N26" s="27"/>
      <c r="O26" s="27" t="s">
        <v>56</v>
      </c>
      <c r="P26" s="27" t="s">
        <v>58</v>
      </c>
      <c r="Q26" s="27" t="n">
        <v>3</v>
      </c>
      <c r="R26" s="27"/>
      <c r="S26" s="27" t="n">
        <v>4</v>
      </c>
      <c r="T26" s="27"/>
      <c r="U26" s="27"/>
      <c r="V26" s="36"/>
      <c r="W26" s="35"/>
      <c r="X26" s="27"/>
      <c r="Y26" s="27" t="s">
        <v>62</v>
      </c>
      <c r="Z26" s="27" t="s">
        <v>63</v>
      </c>
      <c r="AA26" s="27"/>
      <c r="AB26" s="27"/>
      <c r="AC26" s="29"/>
      <c r="AD26" s="29"/>
      <c r="AE26" s="29"/>
      <c r="AF26" s="29"/>
      <c r="AG26" s="29"/>
      <c r="AH26" s="29"/>
      <c r="AI26" s="29" t="s">
        <v>61</v>
      </c>
      <c r="AJ26" s="29" t="s">
        <v>60</v>
      </c>
      <c r="AK26" s="29" t="s">
        <v>58</v>
      </c>
      <c r="AL26" s="29" t="s">
        <v>63</v>
      </c>
      <c r="AM26" s="29" t="s">
        <v>64</v>
      </c>
      <c r="AN26" s="29" t="s">
        <v>65</v>
      </c>
      <c r="AO26" s="30" t="n">
        <v>1</v>
      </c>
      <c r="AP26" s="30" t="n">
        <v>2</v>
      </c>
      <c r="AQ26" s="30" t="n">
        <v>3</v>
      </c>
      <c r="AR26" s="30" t="n">
        <v>4</v>
      </c>
      <c r="AS26" s="30" t="n">
        <v>5</v>
      </c>
      <c r="AT26" s="30" t="n">
        <v>6</v>
      </c>
      <c r="AU26" s="29" t="str">
        <f aca="false">IF(COUNTIF($C26:$AH26,"X")=1,"-","X")</f>
        <v>-</v>
      </c>
      <c r="AV26" s="29" t="str">
        <f aca="false">IF(COUNTIF($C26:$AH26,"C")=1,"-","C")</f>
        <v>-</v>
      </c>
      <c r="AW26" s="29" t="str">
        <f aca="false">IF(COUNTIF($C26:$AH26,"M")=1,"-","M")</f>
        <v>-</v>
      </c>
      <c r="AX26" s="29" t="str">
        <f aca="false">IF(COUNTIF($C26:$AH26,"W")=1,"-","W")</f>
        <v>-</v>
      </c>
      <c r="AY26" s="29" t="str">
        <f aca="false">IF((AZ26+1)*AZ26/2=SUMIF(C26:AH26,"&gt;=1"),"-",((AZ26+1)*AZ26/2-SUMIF(C26:AH26,"&gt;=1")))</f>
        <v>-</v>
      </c>
      <c r="AZ26" s="29" t="n">
        <f aca="false">IF(COUNTIF(BA26:BF26,"&gt;0")=COUNTIF(BJ26:BO26,"&gt; "),COUNTIF(BA26:BF26,"&gt;0"),"0")</f>
        <v>4</v>
      </c>
      <c r="BA26" s="27" t="n">
        <v>6</v>
      </c>
      <c r="BB26" s="27" t="n">
        <v>4</v>
      </c>
      <c r="BC26" s="27" t="n">
        <v>6</v>
      </c>
      <c r="BD26" s="27" t="n">
        <v>4</v>
      </c>
      <c r="BE26" s="27"/>
      <c r="BF26" s="27"/>
      <c r="BG26" s="29" t="n">
        <f aca="false">IF(SUMIF(BA26:BF26,"&gt;=1",BA26:BF26)+AZ26&gt;25,"X",(SUMIF(BA26:BF26,"&gt;=1",BA26:BF26)+AZ26))</f>
        <v>24</v>
      </c>
      <c r="BH26" s="29" t="s">
        <v>66</v>
      </c>
      <c r="BI26" s="26" t="s">
        <v>175</v>
      </c>
      <c r="BJ26" s="31" t="s">
        <v>176</v>
      </c>
      <c r="BK26" s="31" t="s">
        <v>177</v>
      </c>
      <c r="BL26" s="31" t="s">
        <v>178</v>
      </c>
      <c r="BM26" s="31" t="s">
        <v>179</v>
      </c>
      <c r="BN26" s="32" t="str">
        <f aca="false">" "</f>
        <v> </v>
      </c>
      <c r="BO26" s="32" t="str">
        <f aca="false">" "</f>
        <v> </v>
      </c>
      <c r="BP26" s="32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</row>
    <row r="27" customFormat="false" ht="17.1" hidden="false" customHeight="true" outlineLevel="0" collapsed="false">
      <c r="A27" s="18" t="n">
        <f aca="false">A26+1</f>
        <v>3350</v>
      </c>
      <c r="B27" s="19" t="n">
        <f aca="false">B26+7</f>
        <v>40887</v>
      </c>
      <c r="C27" s="27" t="n">
        <v>3</v>
      </c>
      <c r="D27" s="27"/>
      <c r="E27" s="27"/>
      <c r="F27" s="27"/>
      <c r="G27" s="36"/>
      <c r="H27" s="36"/>
      <c r="I27" s="27"/>
      <c r="J27" s="27" t="s">
        <v>56</v>
      </c>
      <c r="K27" s="27" t="s">
        <v>57</v>
      </c>
      <c r="L27" s="27" t="s">
        <v>60</v>
      </c>
      <c r="M27" s="34" t="s">
        <v>61</v>
      </c>
      <c r="N27" s="27"/>
      <c r="O27" s="27"/>
      <c r="P27" s="27"/>
      <c r="Q27" s="27"/>
      <c r="R27" s="27" t="s">
        <v>58</v>
      </c>
      <c r="S27" s="27"/>
      <c r="T27" s="27"/>
      <c r="U27" s="27"/>
      <c r="V27" s="36"/>
      <c r="W27" s="35"/>
      <c r="X27" s="27" t="n">
        <v>2</v>
      </c>
      <c r="Y27" s="27" t="s">
        <v>62</v>
      </c>
      <c r="Z27" s="27" t="s">
        <v>63</v>
      </c>
      <c r="AA27" s="27"/>
      <c r="AB27" s="27" t="n">
        <v>1</v>
      </c>
      <c r="AC27" s="29"/>
      <c r="AD27" s="29"/>
      <c r="AE27" s="29"/>
      <c r="AF27" s="29"/>
      <c r="AG27" s="29"/>
      <c r="AH27" s="29"/>
      <c r="AI27" s="29" t="s">
        <v>61</v>
      </c>
      <c r="AJ27" s="29" t="s">
        <v>60</v>
      </c>
      <c r="AK27" s="29" t="s">
        <v>58</v>
      </c>
      <c r="AL27" s="29" t="s">
        <v>63</v>
      </c>
      <c r="AM27" s="29" t="s">
        <v>64</v>
      </c>
      <c r="AN27" s="29" t="s">
        <v>65</v>
      </c>
      <c r="AO27" s="30" t="n">
        <v>1</v>
      </c>
      <c r="AP27" s="30" t="n">
        <v>2</v>
      </c>
      <c r="AQ27" s="30" t="n">
        <v>3</v>
      </c>
      <c r="AR27" s="30" t="n">
        <v>4</v>
      </c>
      <c r="AS27" s="30" t="n">
        <v>5</v>
      </c>
      <c r="AT27" s="30" t="n">
        <v>6</v>
      </c>
      <c r="AU27" s="29" t="str">
        <f aca="false">IF(COUNTIF($C27:$AH27,"X")=1,"-","X")</f>
        <v>-</v>
      </c>
      <c r="AV27" s="29" t="str">
        <f aca="false">IF(COUNTIF($C27:$AH27,"C")=1,"-","C")</f>
        <v>-</v>
      </c>
      <c r="AW27" s="29" t="str">
        <f aca="false">IF(COUNTIF($C27:$AH27,"M")=1,"-","M")</f>
        <v>-</v>
      </c>
      <c r="AX27" s="29" t="str">
        <f aca="false">IF(COUNTIF($C27:$AH27,"W")=1,"-","W")</f>
        <v>-</v>
      </c>
      <c r="AY27" s="29" t="str">
        <f aca="false">IF((AZ27+1)*AZ27/2=SUMIF(C27:AH27,"&gt;=1"),"-",((AZ27+1)*AZ27/2-SUMIF(C27:AH27,"&gt;=1")))</f>
        <v>-</v>
      </c>
      <c r="AZ27" s="29" t="n">
        <f aca="false">IF(COUNTIF(BA27:BF27,"&gt;0")=COUNTIF(BJ27:BO27,"&gt; "),COUNTIF(BA27:BF27,"&gt;0"),"0")</f>
        <v>3</v>
      </c>
      <c r="BA27" s="27" t="n">
        <v>6</v>
      </c>
      <c r="BB27" s="27" t="n">
        <v>6</v>
      </c>
      <c r="BC27" s="27" t="n">
        <v>6</v>
      </c>
      <c r="BD27" s="27"/>
      <c r="BE27" s="27"/>
      <c r="BF27" s="27"/>
      <c r="BG27" s="29" t="n">
        <f aca="false">IF(SUMIF(BA27:BF27,"&gt;=1",BA27:BF27)+AZ27&gt;25,"X",(SUMIF(BA27:BF27,"&gt;=1",BA27:BF27)+AZ27))</f>
        <v>21</v>
      </c>
      <c r="BH27" s="29" t="s">
        <v>66</v>
      </c>
      <c r="BI27" s="26" t="s">
        <v>180</v>
      </c>
      <c r="BJ27" s="31" t="s">
        <v>181</v>
      </c>
      <c r="BK27" s="31" t="s">
        <v>182</v>
      </c>
      <c r="BL27" s="31" t="s">
        <v>183</v>
      </c>
      <c r="BM27" s="32" t="str">
        <f aca="false">" "</f>
        <v> </v>
      </c>
      <c r="BN27" s="32" t="str">
        <f aca="false">" "</f>
        <v> </v>
      </c>
      <c r="BO27" s="32" t="str">
        <f aca="false">" "</f>
        <v> </v>
      </c>
      <c r="BP27" s="32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</row>
    <row r="28" customFormat="false" ht="17.1" hidden="false" customHeight="true" outlineLevel="0" collapsed="false">
      <c r="A28" s="18" t="n">
        <f aca="false">A27+1</f>
        <v>3351</v>
      </c>
      <c r="B28" s="19" t="n">
        <f aca="false">B27+7</f>
        <v>40894</v>
      </c>
      <c r="C28" s="27" t="s">
        <v>59</v>
      </c>
      <c r="D28" s="27"/>
      <c r="E28" s="27"/>
      <c r="F28" s="27" t="s">
        <v>61</v>
      </c>
      <c r="G28" s="36"/>
      <c r="H28" s="36"/>
      <c r="I28" s="27"/>
      <c r="J28" s="27" t="s">
        <v>56</v>
      </c>
      <c r="K28" s="27" t="s">
        <v>57</v>
      </c>
      <c r="L28" s="27"/>
      <c r="M28" s="34" t="s">
        <v>60</v>
      </c>
      <c r="N28" s="27"/>
      <c r="O28" s="27" t="n">
        <v>2</v>
      </c>
      <c r="P28" s="27"/>
      <c r="Q28" s="27"/>
      <c r="R28" s="27" t="n">
        <v>1</v>
      </c>
      <c r="S28" s="27"/>
      <c r="T28" s="27" t="s">
        <v>58</v>
      </c>
      <c r="U28" s="27"/>
      <c r="V28" s="27" t="n">
        <v>3</v>
      </c>
      <c r="W28" s="35"/>
      <c r="X28" s="27"/>
      <c r="Y28" s="27" t="s">
        <v>62</v>
      </c>
      <c r="Z28" s="27" t="s">
        <v>63</v>
      </c>
      <c r="AA28" s="27"/>
      <c r="AB28" s="27"/>
      <c r="AC28" s="29"/>
      <c r="AD28" s="29"/>
      <c r="AE28" s="29"/>
      <c r="AF28" s="29"/>
      <c r="AG28" s="29"/>
      <c r="AH28" s="29"/>
      <c r="AI28" s="29" t="s">
        <v>61</v>
      </c>
      <c r="AJ28" s="29" t="s">
        <v>60</v>
      </c>
      <c r="AK28" s="29" t="s">
        <v>58</v>
      </c>
      <c r="AL28" s="29" t="s">
        <v>63</v>
      </c>
      <c r="AM28" s="29" t="s">
        <v>64</v>
      </c>
      <c r="AN28" s="29" t="s">
        <v>65</v>
      </c>
      <c r="AO28" s="30" t="n">
        <v>1</v>
      </c>
      <c r="AP28" s="30" t="n">
        <v>2</v>
      </c>
      <c r="AQ28" s="30" t="n">
        <v>3</v>
      </c>
      <c r="AR28" s="30" t="n">
        <v>4</v>
      </c>
      <c r="AS28" s="30" t="n">
        <v>5</v>
      </c>
      <c r="AT28" s="30" t="n">
        <v>6</v>
      </c>
      <c r="AU28" s="29" t="str">
        <f aca="false">IF(COUNTIF($C28:$AH28,"X")=1,"-","X")</f>
        <v>-</v>
      </c>
      <c r="AV28" s="29" t="str">
        <f aca="false">IF(COUNTIF($C28:$AH28,"C")=1,"-","C")</f>
        <v>-</v>
      </c>
      <c r="AW28" s="29" t="str">
        <f aca="false">IF(COUNTIF($C28:$AH28,"M")=1,"-","M")</f>
        <v>-</v>
      </c>
      <c r="AX28" s="29" t="str">
        <f aca="false">IF(COUNTIF($C28:$AH28,"W")=1,"-","W")</f>
        <v>-</v>
      </c>
      <c r="AY28" s="29" t="str">
        <f aca="false">IF((AZ28+1)*AZ28/2=SUMIF(C28:AH28,"&gt;=1"),"-",((AZ28+1)*AZ28/2-SUMIF(C28:AH28,"&gt;=1")))</f>
        <v>-</v>
      </c>
      <c r="AZ28" s="29" t="n">
        <f aca="false">IF(COUNTIF(BA28:BF28,"&gt;0")=COUNTIF(BJ28:BO28,"&gt; "),COUNTIF(BA28:BF28,"&gt;0"),"0")</f>
        <v>3</v>
      </c>
      <c r="BA28" s="27" t="n">
        <v>5</v>
      </c>
      <c r="BB28" s="27" t="n">
        <v>5</v>
      </c>
      <c r="BC28" s="27" t="n">
        <v>5</v>
      </c>
      <c r="BD28" s="27"/>
      <c r="BE28" s="27"/>
      <c r="BF28" s="27"/>
      <c r="BG28" s="29" t="n">
        <f aca="false">IF(SUMIF(BA28:BF28,"&gt;=1",BA28:BF28)+AZ28&gt;25,"X",(SUMIF(BA28:BF28,"&gt;=1",BA28:BF28)+AZ28))</f>
        <v>18</v>
      </c>
      <c r="BH28" s="29" t="s">
        <v>63</v>
      </c>
      <c r="BI28" s="26" t="s">
        <v>184</v>
      </c>
      <c r="BJ28" s="31" t="s">
        <v>185</v>
      </c>
      <c r="BK28" s="31" t="s">
        <v>186</v>
      </c>
      <c r="BL28" s="31" t="s">
        <v>187</v>
      </c>
      <c r="BM28" s="31"/>
      <c r="BN28" s="32" t="str">
        <f aca="false">" "</f>
        <v> </v>
      </c>
      <c r="BO28" s="32" t="str">
        <f aca="false">" "</f>
        <v> </v>
      </c>
      <c r="BP28" s="32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</row>
    <row r="29" customFormat="false" ht="17.1" hidden="false" customHeight="true" outlineLevel="0" collapsed="false">
      <c r="A29" s="18" t="n">
        <f aca="false">A28+1</f>
        <v>3352</v>
      </c>
      <c r="B29" s="19" t="n">
        <v>40922</v>
      </c>
      <c r="C29" s="27"/>
      <c r="D29" s="27"/>
      <c r="E29" s="27" t="n">
        <v>1</v>
      </c>
      <c r="F29" s="27" t="n">
        <v>3</v>
      </c>
      <c r="G29" s="36"/>
      <c r="H29" s="36"/>
      <c r="I29" s="27"/>
      <c r="J29" s="27"/>
      <c r="K29" s="27" t="s">
        <v>57</v>
      </c>
      <c r="L29" s="27" t="s">
        <v>61</v>
      </c>
      <c r="M29" s="34"/>
      <c r="N29" s="27" t="s">
        <v>60</v>
      </c>
      <c r="O29" s="27" t="s">
        <v>56</v>
      </c>
      <c r="P29" s="27"/>
      <c r="Q29" s="27"/>
      <c r="R29" s="27"/>
      <c r="S29" s="27"/>
      <c r="T29" s="27"/>
      <c r="U29" s="27" t="s">
        <v>58</v>
      </c>
      <c r="V29" s="36"/>
      <c r="W29" s="35" t="n">
        <v>5</v>
      </c>
      <c r="X29" s="27"/>
      <c r="Y29" s="27"/>
      <c r="Z29" s="27" t="n">
        <v>2</v>
      </c>
      <c r="AA29" s="27" t="n">
        <v>4</v>
      </c>
      <c r="AB29" s="27"/>
      <c r="AC29" s="29"/>
      <c r="AD29" s="29"/>
      <c r="AE29" s="29"/>
      <c r="AF29" s="29"/>
      <c r="AG29" s="29"/>
      <c r="AH29" s="29"/>
      <c r="AI29" s="29" t="s">
        <v>61</v>
      </c>
      <c r="AJ29" s="29" t="s">
        <v>60</v>
      </c>
      <c r="AK29" s="29" t="s">
        <v>58</v>
      </c>
      <c r="AL29" s="29" t="s">
        <v>63</v>
      </c>
      <c r="AM29" s="29" t="s">
        <v>64</v>
      </c>
      <c r="AN29" s="29" t="s">
        <v>65</v>
      </c>
      <c r="AO29" s="30" t="n">
        <v>1</v>
      </c>
      <c r="AP29" s="30" t="n">
        <v>2</v>
      </c>
      <c r="AQ29" s="30" t="n">
        <v>3</v>
      </c>
      <c r="AR29" s="30" t="n">
        <v>4</v>
      </c>
      <c r="AS29" s="30" t="n">
        <v>5</v>
      </c>
      <c r="AT29" s="30" t="n">
        <v>6</v>
      </c>
      <c r="AU29" s="29" t="str">
        <f aca="false">IF(COUNTIF($C29:$AH29,"X")=1,"-","X")</f>
        <v>X</v>
      </c>
      <c r="AV29" s="29" t="str">
        <f aca="false">IF(COUNTIF($C29:$AH29,"C")=1,"-","C")</f>
        <v>-</v>
      </c>
      <c r="AW29" s="29" t="str">
        <f aca="false">IF(COUNTIF($C29:$AH29,"M")=1,"-","M")</f>
        <v>-</v>
      </c>
      <c r="AX29" s="29" t="str">
        <f aca="false">IF(COUNTIF($C29:$AH29,"W")=1,"-","W")</f>
        <v>-</v>
      </c>
      <c r="AY29" s="29" t="str">
        <f aca="false">IF((AZ29+1)*AZ29/2=SUMIF(C29:AH29,"&gt;=1"),"-",((AZ29+1)*AZ29/2-SUMIF(C29:AH29,"&gt;=1")))</f>
        <v>-</v>
      </c>
      <c r="AZ29" s="29" t="n">
        <v>5</v>
      </c>
      <c r="BA29" s="27" t="n">
        <v>4</v>
      </c>
      <c r="BB29" s="27" t="n">
        <v>4</v>
      </c>
      <c r="BC29" s="27" t="n">
        <v>4</v>
      </c>
      <c r="BD29" s="27" t="n">
        <v>4</v>
      </c>
      <c r="BE29" s="27" t="n">
        <v>4</v>
      </c>
      <c r="BF29" s="27"/>
      <c r="BG29" s="29" t="n">
        <f aca="false">IF(SUMIF(BA29:BF29,"&gt;=1",BA29:BF29)+AZ29&gt;25,"X",(SUMIF(BA29:BF29,"&gt;=1",BA29:BF29)+AZ29))</f>
        <v>25</v>
      </c>
      <c r="BH29" s="29" t="s">
        <v>66</v>
      </c>
      <c r="BI29" s="26" t="s">
        <v>188</v>
      </c>
      <c r="BJ29" s="31" t="s">
        <v>189</v>
      </c>
      <c r="BK29" s="31" t="s">
        <v>190</v>
      </c>
      <c r="BL29" s="31" t="s">
        <v>191</v>
      </c>
      <c r="BM29" s="31" t="s">
        <v>192</v>
      </c>
      <c r="BN29" s="32" t="s">
        <v>193</v>
      </c>
      <c r="BO29" s="32" t="str">
        <f aca="false">" "</f>
        <v> </v>
      </c>
      <c r="BP29" s="32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</row>
    <row r="30" customFormat="false" ht="17.1" hidden="false" customHeight="true" outlineLevel="0" collapsed="false">
      <c r="A30" s="18" t="n">
        <f aca="false">A29+1</f>
        <v>3353</v>
      </c>
      <c r="B30" s="19" t="n">
        <f aca="false">B29+7</f>
        <v>40929</v>
      </c>
      <c r="C30" s="27" t="n">
        <v>1</v>
      </c>
      <c r="D30" s="27"/>
      <c r="E30" s="27"/>
      <c r="F30" s="27"/>
      <c r="G30" s="36"/>
      <c r="H30" s="36"/>
      <c r="I30" s="27"/>
      <c r="J30" s="27"/>
      <c r="K30" s="27" t="s">
        <v>57</v>
      </c>
      <c r="L30" s="27" t="n">
        <v>2</v>
      </c>
      <c r="M30" s="34"/>
      <c r="N30" s="27"/>
      <c r="O30" s="27" t="s">
        <v>56</v>
      </c>
      <c r="P30" s="27" t="s">
        <v>60</v>
      </c>
      <c r="Q30" s="27" t="s">
        <v>61</v>
      </c>
      <c r="R30" s="27"/>
      <c r="S30" s="27"/>
      <c r="T30" s="27"/>
      <c r="U30" s="27"/>
      <c r="V30" s="27" t="s">
        <v>58</v>
      </c>
      <c r="W30" s="35"/>
      <c r="X30" s="27"/>
      <c r="Y30" s="27" t="n">
        <v>4</v>
      </c>
      <c r="Z30" s="27"/>
      <c r="AA30" s="27"/>
      <c r="AB30" s="27" t="n">
        <v>3</v>
      </c>
      <c r="AC30" s="29"/>
      <c r="AD30" s="29"/>
      <c r="AE30" s="29"/>
      <c r="AF30" s="29"/>
      <c r="AG30" s="29"/>
      <c r="AH30" s="29"/>
      <c r="AI30" s="29" t="s">
        <v>61</v>
      </c>
      <c r="AJ30" s="29" t="s">
        <v>60</v>
      </c>
      <c r="AK30" s="29" t="s">
        <v>58</v>
      </c>
      <c r="AL30" s="29" t="s">
        <v>63</v>
      </c>
      <c r="AM30" s="29" t="s">
        <v>64</v>
      </c>
      <c r="AN30" s="29" t="s">
        <v>65</v>
      </c>
      <c r="AO30" s="30" t="n">
        <v>1</v>
      </c>
      <c r="AP30" s="30" t="n">
        <v>2</v>
      </c>
      <c r="AQ30" s="30" t="n">
        <v>3</v>
      </c>
      <c r="AR30" s="30" t="n">
        <v>4</v>
      </c>
      <c r="AS30" s="30" t="n">
        <v>5</v>
      </c>
      <c r="AT30" s="30" t="n">
        <v>6</v>
      </c>
      <c r="AU30" s="29" t="str">
        <f aca="false">IF(COUNTIF($C30:$AH30,"X")=1,"-","X")</f>
        <v>X</v>
      </c>
      <c r="AV30" s="29" t="str">
        <f aca="false">IF(COUNTIF($C30:$AH30,"C")=1,"-","C")</f>
        <v>-</v>
      </c>
      <c r="AW30" s="29" t="str">
        <f aca="false">IF(COUNTIF($C30:$AH30,"M")=1,"-","M")</f>
        <v>-</v>
      </c>
      <c r="AX30" s="29" t="str">
        <f aca="false">IF(COUNTIF($C30:$AH30,"W")=1,"-","W")</f>
        <v>-</v>
      </c>
      <c r="AY30" s="29" t="str">
        <f aca="false">IF((AZ30+1)*AZ30/2=SUMIF(C30:AH30,"&gt;=1"),"-",((AZ30+1)*AZ30/2-SUMIF(C30:AH30,"&gt;=1")))</f>
        <v>-</v>
      </c>
      <c r="AZ30" s="29" t="n">
        <v>4</v>
      </c>
      <c r="BA30" s="27" t="n">
        <v>5</v>
      </c>
      <c r="BB30" s="27" t="n">
        <v>5</v>
      </c>
      <c r="BC30" s="27" t="n">
        <v>5</v>
      </c>
      <c r="BD30" s="27" t="n">
        <v>5</v>
      </c>
      <c r="BE30" s="27"/>
      <c r="BF30" s="27"/>
      <c r="BG30" s="29" t="n">
        <f aca="false">IF(SUMIF(BA30:BF30,"&gt;=1",BA30:BF30)+AZ30&gt;25,"X",(SUMIF(BA30:BF30,"&gt;=1",BA30:BF30)+AZ30))</f>
        <v>24</v>
      </c>
      <c r="BH30" s="29" t="s">
        <v>66</v>
      </c>
      <c r="BI30" s="26" t="s">
        <v>194</v>
      </c>
      <c r="BJ30" s="31" t="s">
        <v>195</v>
      </c>
      <c r="BK30" s="31" t="s">
        <v>196</v>
      </c>
      <c r="BL30" s="31" t="s">
        <v>197</v>
      </c>
      <c r="BM30" s="31" t="s">
        <v>198</v>
      </c>
      <c r="BN30" s="32" t="str">
        <f aca="false">" "</f>
        <v> </v>
      </c>
      <c r="BO30" s="32" t="str">
        <f aca="false">" "</f>
        <v> </v>
      </c>
      <c r="BP30" s="32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</row>
    <row r="31" customFormat="false" ht="17.1" hidden="false" customHeight="true" outlineLevel="0" collapsed="false">
      <c r="A31" s="18" t="n">
        <f aca="false">A30+1</f>
        <v>3354</v>
      </c>
      <c r="B31" s="19" t="n">
        <f aca="false">B30+7</f>
        <v>40936</v>
      </c>
      <c r="C31" s="27"/>
      <c r="D31" s="27"/>
      <c r="E31" s="27"/>
      <c r="F31" s="27"/>
      <c r="G31" s="36"/>
      <c r="H31" s="36"/>
      <c r="I31" s="27"/>
      <c r="J31" s="27"/>
      <c r="K31" s="27" t="s">
        <v>57</v>
      </c>
      <c r="L31" s="27"/>
      <c r="M31" s="34"/>
      <c r="N31" s="27"/>
      <c r="O31" s="27" t="s">
        <v>56</v>
      </c>
      <c r="P31" s="27"/>
      <c r="Q31" s="27"/>
      <c r="R31" s="27"/>
      <c r="S31" s="27"/>
      <c r="T31" s="27"/>
      <c r="U31" s="27"/>
      <c r="V31" s="36"/>
      <c r="W31" s="35"/>
      <c r="X31" s="27"/>
      <c r="Y31" s="27"/>
      <c r="Z31" s="27"/>
      <c r="AA31" s="27"/>
      <c r="AB31" s="27"/>
      <c r="AC31" s="29"/>
      <c r="AD31" s="29"/>
      <c r="AE31" s="29"/>
      <c r="AF31" s="29"/>
      <c r="AG31" s="29"/>
      <c r="AH31" s="29"/>
      <c r="AI31" s="29" t="s">
        <v>61</v>
      </c>
      <c r="AJ31" s="29" t="s">
        <v>60</v>
      </c>
      <c r="AK31" s="29" t="s">
        <v>58</v>
      </c>
      <c r="AL31" s="29" t="s">
        <v>63</v>
      </c>
      <c r="AM31" s="29" t="s">
        <v>64</v>
      </c>
      <c r="AN31" s="29" t="s">
        <v>65</v>
      </c>
      <c r="AO31" s="30" t="n">
        <v>1</v>
      </c>
      <c r="AP31" s="30" t="n">
        <v>2</v>
      </c>
      <c r="AQ31" s="30" t="n">
        <v>3</v>
      </c>
      <c r="AR31" s="30" t="n">
        <v>4</v>
      </c>
      <c r="AS31" s="30" t="n">
        <v>5</v>
      </c>
      <c r="AT31" s="30" t="n">
        <v>6</v>
      </c>
      <c r="AU31" s="29" t="str">
        <f aca="false">IF(COUNTIF($C31:$AH31,"X")=1,"-","X")</f>
        <v>X</v>
      </c>
      <c r="AV31" s="29" t="str">
        <f aca="false">IF(COUNTIF($C31:$AH31,"C")=1,"-","C")</f>
        <v>C</v>
      </c>
      <c r="AW31" s="29" t="str">
        <f aca="false">IF(COUNTIF($C31:$AH31,"M")=1,"-","M")</f>
        <v>M</v>
      </c>
      <c r="AX31" s="29" t="str">
        <f aca="false">IF(COUNTIF($C31:$AH31,"W")=1,"-","W")</f>
        <v>W</v>
      </c>
      <c r="AY31" s="29" t="str">
        <f aca="false">IF((AZ31+1)*AZ31/2=SUMIF(C31:AH31,"&gt;=1"),"-",((AZ31+1)*AZ31/2-SUMIF(C31:AH31,"&gt;=1")))</f>
        <v>-</v>
      </c>
      <c r="AZ31" s="29" t="n">
        <f aca="false">IF(COUNTIF(BA31:BF31,"&gt;0")=COUNTIF(BJ31:BO31,"&gt; "),COUNTIF(BA31:BF31,"&gt;0"),"0")</f>
        <v>0</v>
      </c>
      <c r="BA31" s="27"/>
      <c r="BB31" s="27"/>
      <c r="BC31" s="27"/>
      <c r="BD31" s="27"/>
      <c r="BE31" s="27"/>
      <c r="BF31" s="27"/>
      <c r="BG31" s="29" t="n">
        <f aca="false">IF(SUMIF(BA31:BF31,"&gt;=1",BA31:BF31)+AZ31&gt;25,"X",(SUMIF(BA31:BF31,"&gt;=1",BA31:BF31)+AZ31))</f>
        <v>0</v>
      </c>
      <c r="BH31" s="29" t="s">
        <v>66</v>
      </c>
      <c r="BI31" s="32" t="str">
        <f aca="false">" "</f>
        <v> </v>
      </c>
      <c r="BJ31" s="32" t="str">
        <f aca="false">" "</f>
        <v> </v>
      </c>
      <c r="BK31" s="32" t="str">
        <f aca="false">" "</f>
        <v> </v>
      </c>
      <c r="BL31" s="32" t="str">
        <f aca="false">" "</f>
        <v> </v>
      </c>
      <c r="BM31" s="32" t="str">
        <f aca="false">" "</f>
        <v> </v>
      </c>
      <c r="BN31" s="32" t="str">
        <f aca="false">" "</f>
        <v> </v>
      </c>
      <c r="BO31" s="32" t="str">
        <f aca="false">" "</f>
        <v> </v>
      </c>
      <c r="BP31" s="32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</row>
    <row r="32" customFormat="false" ht="16.35" hidden="false" customHeight="true" outlineLevel="0" collapsed="false">
      <c r="A32" s="18" t="n">
        <f aca="false">A31+1</f>
        <v>3355</v>
      </c>
      <c r="B32" s="19" t="n">
        <f aca="false">B31+7</f>
        <v>40943</v>
      </c>
      <c r="C32" s="27"/>
      <c r="D32" s="27"/>
      <c r="E32" s="27"/>
      <c r="F32" s="27"/>
      <c r="G32" s="36"/>
      <c r="H32" s="36"/>
      <c r="I32" s="27"/>
      <c r="J32" s="27"/>
      <c r="K32" s="27" t="s">
        <v>57</v>
      </c>
      <c r="L32" s="27"/>
      <c r="M32" s="34"/>
      <c r="N32" s="27"/>
      <c r="O32" s="33"/>
      <c r="P32" s="27"/>
      <c r="Q32" s="27"/>
      <c r="R32" s="33"/>
      <c r="S32" s="27"/>
      <c r="T32" s="27"/>
      <c r="U32" s="27"/>
      <c r="V32" s="36"/>
      <c r="W32" s="35"/>
      <c r="X32" s="27"/>
      <c r="Y32" s="27"/>
      <c r="Z32" s="27"/>
      <c r="AA32" s="27"/>
      <c r="AB32" s="27"/>
      <c r="AC32" s="29"/>
      <c r="AD32" s="29"/>
      <c r="AE32" s="29"/>
      <c r="AF32" s="29"/>
      <c r="AG32" s="29"/>
      <c r="AH32" s="29"/>
      <c r="AI32" s="29" t="s">
        <v>61</v>
      </c>
      <c r="AJ32" s="29" t="s">
        <v>60</v>
      </c>
      <c r="AK32" s="29" t="s">
        <v>58</v>
      </c>
      <c r="AL32" s="29" t="s">
        <v>63</v>
      </c>
      <c r="AM32" s="29" t="s">
        <v>64</v>
      </c>
      <c r="AN32" s="29" t="s">
        <v>65</v>
      </c>
      <c r="AO32" s="30" t="n">
        <v>1</v>
      </c>
      <c r="AP32" s="30" t="n">
        <v>2</v>
      </c>
      <c r="AQ32" s="30" t="n">
        <v>3</v>
      </c>
      <c r="AR32" s="30" t="n">
        <v>4</v>
      </c>
      <c r="AS32" s="30" t="n">
        <v>5</v>
      </c>
      <c r="AT32" s="30" t="n">
        <v>6</v>
      </c>
      <c r="AU32" s="29" t="str">
        <f aca="false">IF(COUNTIF($C32:$AH32,"X")=1,"-","X")</f>
        <v>X</v>
      </c>
      <c r="AV32" s="29" t="str">
        <f aca="false">IF(COUNTIF($C32:$AH32,"C")=1,"-","C")</f>
        <v>C</v>
      </c>
      <c r="AW32" s="29" t="str">
        <f aca="false">IF(COUNTIF($C32:$AH32,"M")=1,"-","M")</f>
        <v>M</v>
      </c>
      <c r="AX32" s="29" t="str">
        <f aca="false">IF(COUNTIF($C32:$AH32,"W")=1,"-","W")</f>
        <v>W</v>
      </c>
      <c r="AY32" s="29" t="str">
        <f aca="false">IF((AZ32+1)*AZ32/2=SUMIF(C32:AH32,"&gt;=1"),"-",((AZ32+1)*AZ32/2-SUMIF(C32:AH32,"&gt;=1")))</f>
        <v>-</v>
      </c>
      <c r="AZ32" s="29" t="n">
        <f aca="false">IF(COUNTIF(BA32:BF32,"&gt;0")=COUNTIF(BJ32:BO32,"&gt; "),COUNTIF(BA32:BF32,"&gt;0"),"0")</f>
        <v>0</v>
      </c>
      <c r="BA32" s="27"/>
      <c r="BB32" s="27"/>
      <c r="BC32" s="27"/>
      <c r="BD32" s="27"/>
      <c r="BE32" s="27"/>
      <c r="BF32" s="27"/>
      <c r="BG32" s="29" t="n">
        <f aca="false">IF(SUMIF(BA32:BF32,"&gt;=1",BA32:BF32)+AZ32&gt;25,"X",(SUMIF(BA32:BF32,"&gt;=1",BA32:BF32)+AZ32))</f>
        <v>0</v>
      </c>
      <c r="BH32" s="29" t="s">
        <v>66</v>
      </c>
      <c r="BI32" s="32" t="str">
        <f aca="false">" "</f>
        <v> </v>
      </c>
      <c r="BJ32" s="32" t="str">
        <f aca="false">" "</f>
        <v> </v>
      </c>
      <c r="BK32" s="32" t="str">
        <f aca="false">" "</f>
        <v> </v>
      </c>
      <c r="BL32" s="32" t="str">
        <f aca="false">" "</f>
        <v> </v>
      </c>
      <c r="BM32" s="32" t="str">
        <f aca="false">" "</f>
        <v> </v>
      </c>
      <c r="BN32" s="32" t="str">
        <f aca="false">" "</f>
        <v> </v>
      </c>
      <c r="BO32" s="32" t="str">
        <f aca="false">" "</f>
        <v> </v>
      </c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</row>
    <row r="33" s="4" customFormat="true" ht="16.35" hidden="false" customHeight="true" outlineLevel="0" collapsed="false">
      <c r="A33" s="18"/>
      <c r="B33" s="19"/>
      <c r="C33" s="29"/>
      <c r="D33" s="29"/>
      <c r="E33" s="29"/>
      <c r="F33" s="29"/>
      <c r="G33" s="5"/>
      <c r="H33" s="5"/>
      <c r="I33" s="29"/>
      <c r="J33" s="29"/>
      <c r="K33" s="29"/>
      <c r="L33" s="29"/>
      <c r="M33" s="34"/>
      <c r="N33" s="29"/>
      <c r="O33" s="29"/>
      <c r="P33" s="29"/>
      <c r="Q33" s="29"/>
      <c r="R33" s="29"/>
      <c r="S33" s="29"/>
      <c r="T33" s="29"/>
      <c r="U33" s="29"/>
      <c r="V33" s="5"/>
      <c r="W33" s="35"/>
      <c r="X33" s="29"/>
      <c r="Y33" s="29"/>
      <c r="Z33" s="29"/>
      <c r="AA33" s="29"/>
      <c r="AB33" s="29"/>
      <c r="AC33" s="29"/>
      <c r="AD33" s="29"/>
      <c r="AI33" s="29"/>
      <c r="AJ33" s="29"/>
      <c r="AK33" s="29"/>
      <c r="AL33" s="29"/>
      <c r="AM33" s="29"/>
      <c r="AN33" s="29"/>
      <c r="AO33" s="30"/>
      <c r="AP33" s="30"/>
      <c r="AQ33" s="30"/>
      <c r="AR33" s="30"/>
      <c r="AS33" s="30"/>
      <c r="AT33" s="30"/>
      <c r="AU33" s="30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I33" s="26"/>
      <c r="BJ33" s="31"/>
      <c r="BK33" s="31"/>
      <c r="BL33" s="31"/>
      <c r="BM33" s="31"/>
      <c r="BN33" s="31"/>
      <c r="BO33" s="31"/>
      <c r="AMG33" s="5"/>
      <c r="AMH33" s="0"/>
      <c r="AMI33" s="0"/>
      <c r="AMJ33" s="0"/>
    </row>
    <row r="34" customFormat="false" ht="16.35" hidden="false" customHeight="true" outlineLevel="0" collapsed="false">
      <c r="B34" s="37" t="s">
        <v>199</v>
      </c>
      <c r="C34" s="27" t="str">
        <f aca="false">IF(COUNTIF(C$4:C$31,"C")=1,"-",COUNTIF(C$4:C$31,"C"))</f>
        <v>-</v>
      </c>
      <c r="D34" s="27" t="str">
        <f aca="false">IF(COUNTIF(D$4:D$31,"C")=1,"-",COUNTIF(D$4:D$31,"C"))</f>
        <v>-</v>
      </c>
      <c r="E34" s="27" t="str">
        <f aca="false">IF(COUNTIF(E$4:E$31,"C")=1,"-",COUNTIF(E$4:E$31,"C"))</f>
        <v>-</v>
      </c>
      <c r="F34" s="27" t="n">
        <f aca="false">IF(COUNTIF(F$4:F$31,"C")=1,"-",COUNTIF(F$4:F$31,"C"))</f>
        <v>2</v>
      </c>
      <c r="G34" s="28" t="n">
        <f aca="false">IF(COUNTIF(G$4:G$31,"C")=1,"-",COUNTIF(G$4:G$31,"C"))</f>
        <v>0</v>
      </c>
      <c r="H34" s="28" t="n">
        <f aca="false">IF(COUNTIF(H$4:H$31,"C")=1,"-",COUNTIF(H$4:H$31,"C"))</f>
        <v>2</v>
      </c>
      <c r="I34" s="27" t="str">
        <f aca="false">IF(COUNTIF(I$4:I$31,"C")=1,"-",COUNTIF(I$4:I$31,"C"))</f>
        <v>-</v>
      </c>
      <c r="J34" s="27" t="n">
        <f aca="false">IF(COUNTIF(J$4:J$31,"C")=1,"-",COUNTIF(J$4:J$31,"C"))</f>
        <v>0</v>
      </c>
      <c r="K34" s="27" t="n">
        <f aca="false">IF(COUNTIF(K$4:K$31,"C")=1,"-",COUNTIF(K$4:K$31,"C"))</f>
        <v>0</v>
      </c>
      <c r="L34" s="27" t="n">
        <f aca="false">IF(COUNTIF(L$4:L$31,"C")=1,"-",COUNTIF(L$4:L$31,"C"))</f>
        <v>2</v>
      </c>
      <c r="M34" s="34" t="n">
        <f aca="false">IF(COUNTIF(M$4:M$31,"C")=1,"-",COUNTIF(M$4:M$31,"C"))</f>
        <v>2</v>
      </c>
      <c r="N34" s="27" t="str">
        <f aca="false">IF(COUNTIF(N$4:N$31,"C")=1,"-",COUNTIF(N$4:N$31,"C"))</f>
        <v>-</v>
      </c>
      <c r="O34" s="27" t="n">
        <f aca="false">IF(COUNTIF(O$4:O$31,"C")=1,"-",COUNTIF(O$4:O$31,"C"))</f>
        <v>0</v>
      </c>
      <c r="P34" s="27" t="str">
        <f aca="false">IF(COUNTIF(P$4:P$31,"C")=1,"-",COUNTIF(P$4:P$31,"C"))</f>
        <v>-</v>
      </c>
      <c r="Q34" s="27" t="n">
        <f aca="false">IF(COUNTIF(Q$4:Q$31,"C")=1,"-",COUNTIF(Q$4:Q$31,"C"))</f>
        <v>2</v>
      </c>
      <c r="R34" s="27" t="n">
        <f aca="false">IF(COUNTIF(R$4:R$31,"C")=1,"-",COUNTIF(R$4:R$31,"C"))</f>
        <v>2</v>
      </c>
      <c r="S34" s="27" t="str">
        <f aca="false">IF(COUNTIF(S$4:S$31,"C")=1,"-",COUNTIF(S$4:S$31,"C"))</f>
        <v>-</v>
      </c>
      <c r="T34" s="27" t="str">
        <f aca="false">IF(COUNTIF(T$4:T$31,"C")=1,"-",COUNTIF(T$4:T$31,"C"))</f>
        <v>-</v>
      </c>
      <c r="U34" s="27" t="str">
        <f aca="false">IF(COUNTIF(U$4:U$31,"C")=1,"-",COUNTIF(U$4:U$31,"C"))</f>
        <v>-</v>
      </c>
      <c r="V34" s="27" t="str">
        <f aca="false">IF(COUNTIF(V$4:V$31,"C")=1,"-",COUNTIF(V$4:V$31,"C"))</f>
        <v>-</v>
      </c>
      <c r="W34" s="35" t="str">
        <f aca="false">IF(COUNTIF(W$4:W$31,"C")=1,"-",COUNTIF(W$4:W$31,"C"))</f>
        <v>-</v>
      </c>
      <c r="X34" s="27" t="n">
        <f aca="false">IF(COUNTIF(X$4:X$31,"C")=1,"-",COUNTIF(X$4:X$31,"C"))</f>
        <v>2</v>
      </c>
      <c r="Y34" s="27" t="str">
        <f aca="false">IF(COUNTIF(Y$4:Y$31,"C")=1,"-",COUNTIF(Y$4:Y$31,"C"))</f>
        <v>-</v>
      </c>
      <c r="Z34" s="27" t="n">
        <f aca="false">IF(COUNTIF(Z$4:Z$31,"C")=1,"-",COUNTIF(Z$4:Z$31,"C"))</f>
        <v>0</v>
      </c>
      <c r="AA34" s="27" t="n">
        <f aca="false">IF(COUNTIF(AA$4:AA$31,"C")=1,"-",COUNTIF(AA$4:AA$31,"C"))</f>
        <v>0</v>
      </c>
      <c r="AB34" s="27" t="str">
        <f aca="false">IF(COUNTIF(AB$4:AB$31,"C")=1,"-",COUNTIF(AB$4:AB$31,"C"))</f>
        <v>-</v>
      </c>
      <c r="AC34" s="1" t="n">
        <f aca="false">IF(COUNTIF(AC$4:AC$31,"C")=1,"-",COUNTIF(AC$4:AC$31,"C"))</f>
        <v>0</v>
      </c>
      <c r="AD34" s="1" t="n">
        <f aca="false">IF(COUNTIF(AD$4:AD$31,"C")=1,"-",COUNTIF(AD$4:AD$31,"C"))</f>
        <v>0</v>
      </c>
      <c r="AE34" s="1" t="n">
        <f aca="false">IF(COUNTIF(AE$4:AE$31,"C")=1,"-",COUNTIF(AE$4:AE$31,"C"))</f>
        <v>0</v>
      </c>
      <c r="AF34" s="1" t="n">
        <f aca="false">IF(COUNTIF(AF$4:AF$31,"C")=1,"-",COUNTIF(AF$4:AF$31,"C"))</f>
        <v>0</v>
      </c>
      <c r="AG34" s="1" t="n">
        <f aca="false">IF(COUNTIF(AG$4:AG$31,"C")=1,"-",COUNTIF(AG$4:AG$31,"C"))</f>
        <v>0</v>
      </c>
      <c r="AH34" s="1" t="n">
        <f aca="false">IF(COUNTIF(AH$4:AH$31,"C")=1,"-",COUNTIF(AH$4:AH$31,"C"))</f>
        <v>0</v>
      </c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Z34" s="29" t="n">
        <f aca="false">SUM(AZ5:AZ31)</f>
        <v>103</v>
      </c>
      <c r="BA34" s="0"/>
      <c r="BB34" s="0"/>
      <c r="BC34" s="0"/>
      <c r="BD34" s="0"/>
      <c r="BG34" s="0"/>
      <c r="BH34" s="38"/>
      <c r="BI34" s="39" t="s">
        <v>200</v>
      </c>
      <c r="BJ34" s="39" t="s">
        <v>201</v>
      </c>
      <c r="BK34" s="39" t="s">
        <v>202</v>
      </c>
      <c r="BL34" s="39" t="s">
        <v>203</v>
      </c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</row>
    <row r="35" customFormat="false" ht="16.35" hidden="false" customHeight="true" outlineLevel="0" collapsed="false">
      <c r="A35" s="0"/>
      <c r="B35" s="37" t="s">
        <v>204</v>
      </c>
      <c r="C35" s="27" t="str">
        <f aca="false">IF(COUNTIF(C$4:C$31,"M")=1,"-",COUNTIF(C$4:C$31,"M"))</f>
        <v>-</v>
      </c>
      <c r="D35" s="27" t="n">
        <f aca="false">IF(COUNTIF(D$4:D$31,"M")=1,"-",COUNTIF(D$4:D$31,"M"))</f>
        <v>2</v>
      </c>
      <c r="E35" s="27" t="n">
        <f aca="false">IF(COUNTIF(E$4:E$31,"M")=1,"-",COUNTIF(E$4:E$31,"M"))</f>
        <v>2</v>
      </c>
      <c r="F35" s="27" t="n">
        <f aca="false">IF(COUNTIF(F$4:F$31,"M")=1,"-",COUNTIF(F$4:F$31,"M"))</f>
        <v>2</v>
      </c>
      <c r="G35" s="28" t="n">
        <f aca="false">IF(COUNTIF(G$4:G$31,"M")=1,"-",COUNTIF(G$4:G$31,"M"))</f>
        <v>0</v>
      </c>
      <c r="H35" s="28" t="n">
        <f aca="false">IF(COUNTIF(H$4:H$31,"M")=1,"-",COUNTIF(H$4:H$31,"M"))</f>
        <v>0</v>
      </c>
      <c r="I35" s="27" t="n">
        <f aca="false">IF(COUNTIF(I$4:I$31,"M")=1,"-",COUNTIF(I$4:I$31,"M"))</f>
        <v>2</v>
      </c>
      <c r="J35" s="27" t="n">
        <f aca="false">IF(COUNTIF(J$4:J$31,"M")=1,"-",COUNTIF(J$4:J$31,"M"))</f>
        <v>0</v>
      </c>
      <c r="K35" s="27" t="n">
        <f aca="false">IF(COUNTIF(K$4:K$31,"M")=1,"-",COUNTIF(K$4:K$31,"M"))</f>
        <v>0</v>
      </c>
      <c r="L35" s="27" t="n">
        <f aca="false">IF(COUNTIF(L$4:L$31,"M")=1,"-",COUNTIF(L$4:L$31,"M"))</f>
        <v>2</v>
      </c>
      <c r="M35" s="34" t="n">
        <f aca="false">IF(COUNTIF(M$4:M$31,"M")=1,"-",COUNTIF(M$4:M$31,"M"))</f>
        <v>2</v>
      </c>
      <c r="N35" s="27" t="n">
        <f aca="false">IF(COUNTIF(N$4:N$31,"M")=1,"-",COUNTIF(N$4:N$31,"M"))</f>
        <v>2</v>
      </c>
      <c r="O35" s="27" t="n">
        <f aca="false">IF(COUNTIF(O$4:O$31,"M")=1,"-",COUNTIF(O$4:O$31,"M"))</f>
        <v>0</v>
      </c>
      <c r="P35" s="27" t="n">
        <f aca="false">IF(COUNTIF(P$4:P$31,"M")=1,"-",COUNTIF(P$4:P$31,"M"))</f>
        <v>2</v>
      </c>
      <c r="Q35" s="27" t="str">
        <f aca="false">IF(COUNTIF(Q$4:Q$31,"M")=1,"-",COUNTIF(Q$4:Q$31,"M"))</f>
        <v>-</v>
      </c>
      <c r="R35" s="27" t="str">
        <f aca="false">IF(COUNTIF(R$4:R$31,"M")=1,"-",COUNTIF(R$4:R$31,"M"))</f>
        <v>-</v>
      </c>
      <c r="S35" s="27" t="str">
        <f aca="false">IF(COUNTIF(S$4:S$31,"M")=1,"-",COUNTIF(S$4:S$31,"M"))</f>
        <v>-</v>
      </c>
      <c r="T35" s="27" t="n">
        <f aca="false">IF(COUNTIF(T$4:T$31,"M")=1,"-",COUNTIF(T$4:T$31,"M"))</f>
        <v>2</v>
      </c>
      <c r="U35" s="27" t="str">
        <f aca="false">IF(COUNTIF(U$4:U$31,"M")=1,"-",COUNTIF(U$4:U$31,"M"))</f>
        <v>-</v>
      </c>
      <c r="V35" s="27" t="str">
        <f aca="false">IF(COUNTIF(V$4:V$31,"M")=1,"-",COUNTIF(V$4:V$31,"M"))</f>
        <v>-</v>
      </c>
      <c r="W35" s="35" t="n">
        <f aca="false">IF(COUNTIF(W$4:W$31,"M")=1,"-",COUNTIF(W$4:W$31,"M"))</f>
        <v>0</v>
      </c>
      <c r="X35" s="27" t="n">
        <f aca="false">IF(COUNTIF(X$4:X$31,"M")=1,"-",COUNTIF(X$4:X$31,"M"))</f>
        <v>2</v>
      </c>
      <c r="Y35" s="27" t="n">
        <f aca="false">IF(COUNTIF(Y$4:Y$31,"M")=1,"-",COUNTIF(Y$4:Y$31,"M"))</f>
        <v>0</v>
      </c>
      <c r="Z35" s="27" t="n">
        <f aca="false">IF(COUNTIF(Z$4:Z$31,"M")=1,"-",COUNTIF(Z$4:Z$31,"M"))</f>
        <v>0</v>
      </c>
      <c r="AA35" s="27" t="n">
        <f aca="false">IF(COUNTIF(AA$4:AA$31,"M")=1,"-",COUNTIF(AA$4:AA$31,"M"))</f>
        <v>0</v>
      </c>
      <c r="AB35" s="27" t="str">
        <f aca="false">IF(COUNTIF(AB$4:AB$31,"M")=1,"-",COUNTIF(AB$4:AB$31,"M"))</f>
        <v>-</v>
      </c>
      <c r="AC35" s="1" t="n">
        <f aca="false">IF(COUNTIF(AC$4:AC$31,"M")=1,"-",COUNTIF(AC$4:AC$31,"M"))</f>
        <v>0</v>
      </c>
      <c r="AD35" s="1" t="n">
        <f aca="false">IF(COUNTIF(AD$4:AD$31,"M")=1,"-",COUNTIF(AD$4:AD$31,"M"))</f>
        <v>0</v>
      </c>
      <c r="AE35" s="1" t="n">
        <f aca="false">IF(COUNTIF(AE$4:AE$31,"M")=1,"-",COUNTIF(AE$4:AE$31,"M"))</f>
        <v>0</v>
      </c>
      <c r="AF35" s="1" t="n">
        <f aca="false">IF(COUNTIF(AF$4:AF$31,"M")=1,"-",COUNTIF(AF$4:AF$31,"M"))</f>
        <v>0</v>
      </c>
      <c r="AG35" s="1" t="n">
        <f aca="false">IF(COUNTIF(AG$4:AG$31,"M")=1,"-",COUNTIF(AG$4:AG$31,"M"))</f>
        <v>0</v>
      </c>
      <c r="AH35" s="1" t="n">
        <f aca="false">IF(COUNTIF(AH$4:AH$31,"M")=1,"-",COUNTIF(AH$4:AH$31,"M"))</f>
        <v>0</v>
      </c>
      <c r="AI35" s="29"/>
      <c r="AJ35" s="29"/>
      <c r="AK35" s="29"/>
      <c r="AL35" s="29"/>
      <c r="AM35" s="29"/>
      <c r="AN35" s="29"/>
      <c r="AO35" s="30"/>
      <c r="AP35" s="30"/>
      <c r="AQ35" s="30"/>
      <c r="AR35" s="30"/>
      <c r="AS35" s="30"/>
      <c r="AT35" s="30"/>
      <c r="AU35" s="30"/>
      <c r="AV35" s="0"/>
      <c r="AW35" s="0"/>
      <c r="AX35" s="0"/>
      <c r="AY35" s="0"/>
      <c r="AZ35" s="4"/>
      <c r="BA35" s="29"/>
      <c r="BB35" s="29"/>
      <c r="BC35" s="29"/>
      <c r="BD35" s="29"/>
      <c r="BE35" s="29"/>
      <c r="BF35" s="29"/>
      <c r="BG35" s="30"/>
      <c r="BH35" s="38" t="s">
        <v>129</v>
      </c>
      <c r="BI35" s="40" t="s">
        <v>205</v>
      </c>
      <c r="BJ35" s="40" t="s">
        <v>206</v>
      </c>
      <c r="BK35" s="40" t="str">
        <f aca="false">" "</f>
        <v> </v>
      </c>
      <c r="BL35" s="40" t="str">
        <f aca="false">" "</f>
        <v> </v>
      </c>
      <c r="BM35" s="29"/>
      <c r="BN35" s="29"/>
      <c r="BO35" s="29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</row>
    <row r="36" customFormat="false" ht="16.35" hidden="false" customHeight="true" outlineLevel="0" collapsed="false">
      <c r="A36" s="0"/>
      <c r="B36" s="37" t="s">
        <v>207</v>
      </c>
      <c r="C36" s="27" t="str">
        <f aca="false">IF(COUNTIF(C$4:C$31,"W")=1,"-",COUNTIF(C$4:C$31,"W"))</f>
        <v>-</v>
      </c>
      <c r="D36" s="27" t="str">
        <f aca="false">IF(COUNTIF(D$4:D$31,"W")=1,"-",COUNTIF(D$4:D$31,"W"))</f>
        <v>-</v>
      </c>
      <c r="E36" s="27" t="str">
        <f aca="false">IF(COUNTIF(E$4:E$31,"W")=1,"-",COUNTIF(E$4:E$31,"W"))</f>
        <v>-</v>
      </c>
      <c r="F36" s="27" t="n">
        <f aca="false">IF(COUNTIF(F$4:F$31,"W")=1,"-",COUNTIF(F$4:F$31,"W"))</f>
        <v>2</v>
      </c>
      <c r="G36" s="28" t="n">
        <f aca="false">IF(COUNTIF(G$4:G$31,"W")=1,"-",COUNTIF(G$4:G$31,"W"))</f>
        <v>2</v>
      </c>
      <c r="H36" s="28" t="n">
        <f aca="false">IF(COUNTIF(H$4:H$31,"W")=1,"-",COUNTIF(H$4:H$31,"W"))</f>
        <v>2</v>
      </c>
      <c r="I36" s="27" t="n">
        <f aca="false">IF(COUNTIF(I$4:I$31,"W")=1,"-",COUNTIF(I$4:I$31,"W"))</f>
        <v>0</v>
      </c>
      <c r="J36" s="27" t="n">
        <f aca="false">IF(COUNTIF(J$4:J$31,"W")=1,"-",COUNTIF(J$4:J$31,"W"))</f>
        <v>0</v>
      </c>
      <c r="K36" s="27" t="n">
        <f aca="false">IF(COUNTIF(K$4:K$31,"W")=1,"-",COUNTIF(K$4:K$31,"W"))</f>
        <v>0</v>
      </c>
      <c r="L36" s="27" t="str">
        <f aca="false">IF(COUNTIF(L$4:L$31,"W")=1,"-",COUNTIF(L$4:L$31,"W"))</f>
        <v>-</v>
      </c>
      <c r="M36" s="34" t="n">
        <f aca="false">IF(COUNTIF(M$4:M$31,"W")=1,"-",COUNTIF(M$4:M$31,"W"))</f>
        <v>2</v>
      </c>
      <c r="N36" s="27" t="str">
        <f aca="false">IF(COUNTIF(N$4:N$31,"W")=1,"-",COUNTIF(N$4:N$31,"W"))</f>
        <v>-</v>
      </c>
      <c r="O36" s="27" t="n">
        <f aca="false">IF(COUNTIF(O$4:O$31,"W")=1,"-",COUNTIF(O$4:O$31,"W"))</f>
        <v>0</v>
      </c>
      <c r="P36" s="27" t="n">
        <f aca="false">IF(COUNTIF(P$4:P$31,"W")=1,"-",COUNTIF(P$4:P$31,"W"))</f>
        <v>2</v>
      </c>
      <c r="Q36" s="27" t="n">
        <f aca="false">IF(COUNTIF(Q$4:Q$31,"W")=1,"-",COUNTIF(Q$4:Q$31,"W"))</f>
        <v>2</v>
      </c>
      <c r="R36" s="27" t="str">
        <f aca="false">IF(COUNTIF(R$4:R$31,"W")=1,"-",COUNTIF(R$4:R$31,"W"))</f>
        <v>-</v>
      </c>
      <c r="S36" s="27" t="str">
        <f aca="false">IF(COUNTIF(S$4:S$31,"W")=1,"-",COUNTIF(S$4:S$31,"W"))</f>
        <v>-</v>
      </c>
      <c r="T36" s="27" t="str">
        <f aca="false">IF(COUNTIF(T$4:T$31,"W")=1,"-",COUNTIF(T$4:T$31,"W"))</f>
        <v>-</v>
      </c>
      <c r="U36" s="27" t="str">
        <f aca="false">IF(COUNTIF(U$4:U$31,"W")=1,"-",COUNTIF(U$4:U$31,"W"))</f>
        <v>-</v>
      </c>
      <c r="V36" s="27" t="str">
        <f aca="false">IF(COUNTIF(V$4:V$31,"W")=1,"-",COUNTIF(V$4:V$31,"W"))</f>
        <v>-</v>
      </c>
      <c r="W36" s="35" t="str">
        <f aca="false">IF(COUNTIF(W$4:W$31,"W")=1,"-",COUNTIF(W$4:W$31,"W"))</f>
        <v>-</v>
      </c>
      <c r="X36" s="27" t="str">
        <f aca="false">IF(COUNTIF(X$4:X$31,"W")=1,"-",COUNTIF(X$4:X$31,"W"))</f>
        <v>-</v>
      </c>
      <c r="Y36" s="27" t="n">
        <f aca="false">IF(COUNTIF(Y$4:Y$31,"W")=1,"-",COUNTIF(Y$4:Y$31,"W"))</f>
        <v>2</v>
      </c>
      <c r="Z36" s="27" t="n">
        <f aca="false">IF(COUNTIF(Z$4:Z$31,"W")=1,"-",COUNTIF(Z$4:Z$31,"W"))</f>
        <v>0</v>
      </c>
      <c r="AA36" s="27" t="n">
        <f aca="false">IF(COUNTIF(AA$4:AA$31,"W")=1,"-",COUNTIF(AA$4:AA$31,"W"))</f>
        <v>0</v>
      </c>
      <c r="AB36" s="27" t="str">
        <f aca="false">IF(COUNTIF(AB$4:AB$31,"W")=1,"-",COUNTIF(AB$4:AB$31,"W"))</f>
        <v>-</v>
      </c>
      <c r="AC36" s="1" t="n">
        <f aca="false">IF(COUNTIF(AC$4:AC$31,"W")=1,"-",COUNTIF(AC$4:AC$31,"W"))</f>
        <v>0</v>
      </c>
      <c r="AD36" s="1" t="n">
        <f aca="false">IF(COUNTIF(AD$4:AD$31,"W")=1,"-",COUNTIF(AD$4:AD$31,"W"))</f>
        <v>0</v>
      </c>
      <c r="AE36" s="1" t="n">
        <f aca="false">IF(COUNTIF(AE$4:AE$31,"W")=1,"-",COUNTIF(AE$4:AE$31,"W"))</f>
        <v>0</v>
      </c>
      <c r="AF36" s="1" t="n">
        <f aca="false">IF(COUNTIF(AF$4:AF$31,"W")=1,"-",COUNTIF(AF$4:AF$31,"W"))</f>
        <v>0</v>
      </c>
      <c r="AG36" s="1" t="n">
        <f aca="false">IF(COUNTIF(AG$4:AG$31,"W")=1,"-",COUNTIF(AG$4:AG$31,"W"))</f>
        <v>0</v>
      </c>
      <c r="AH36" s="1" t="n">
        <f aca="false">IF(COUNTIF(AH$4:AH$31,"W")=1,"-",COUNTIF(AH$4:AH$31,"W"))</f>
        <v>0</v>
      </c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4"/>
      <c r="BA36" s="41" t="s">
        <v>208</v>
      </c>
      <c r="BB36" s="41"/>
      <c r="BC36" s="41"/>
      <c r="BD36" s="42" t="s">
        <v>209</v>
      </c>
      <c r="BE36" s="42"/>
      <c r="BF36" s="0"/>
      <c r="BG36" s="0"/>
      <c r="BH36" s="38" t="s">
        <v>63</v>
      </c>
      <c r="BI36" s="40" t="s">
        <v>210</v>
      </c>
      <c r="BJ36" s="40" t="s">
        <v>211</v>
      </c>
      <c r="BK36" s="40" t="s">
        <v>212</v>
      </c>
      <c r="BL36" s="4" t="s">
        <v>213</v>
      </c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</row>
    <row r="37" s="4" customFormat="true" ht="16.35" hidden="false" customHeight="true" outlineLevel="0" collapsed="false">
      <c r="A37" s="1"/>
      <c r="B37" s="37"/>
      <c r="G37" s="43"/>
      <c r="H37" s="43"/>
      <c r="M37" s="44"/>
      <c r="V37" s="45"/>
      <c r="W37" s="46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BA37" s="47" t="s">
        <v>214</v>
      </c>
      <c r="BB37" s="47"/>
      <c r="BC37" s="47"/>
      <c r="BD37" s="29" t="s">
        <v>63</v>
      </c>
      <c r="BE37" s="29"/>
      <c r="BF37" s="1"/>
      <c r="BG37" s="1"/>
      <c r="BH37" s="38" t="s">
        <v>156</v>
      </c>
      <c r="BI37" s="40" t="s">
        <v>215</v>
      </c>
      <c r="BJ37" s="40" t="s">
        <v>211</v>
      </c>
      <c r="BK37" s="40" t="s">
        <v>216</v>
      </c>
      <c r="BL37" s="40" t="str">
        <f aca="false">" "</f>
        <v> </v>
      </c>
      <c r="AMG37" s="5"/>
      <c r="AMH37" s="0"/>
      <c r="AMI37" s="0"/>
      <c r="AMJ37" s="0"/>
    </row>
    <row r="38" customFormat="false" ht="16.35" hidden="false" customHeight="true" outlineLevel="0" collapsed="false">
      <c r="B38" s="37" t="s">
        <v>40</v>
      </c>
      <c r="C38" s="27" t="n">
        <f aca="false">COUNTIF(C$5:C$31,"&gt;=1")</f>
        <v>4</v>
      </c>
      <c r="D38" s="27" t="n">
        <f aca="false">COUNTIF(D$5:D$31,"&gt;=1")</f>
        <v>5</v>
      </c>
      <c r="E38" s="27" t="n">
        <f aca="false">COUNTIF(E$5:E$31,"&gt;=1")</f>
        <v>4</v>
      </c>
      <c r="F38" s="27" t="n">
        <f aca="false">COUNTIF(F$5:F$31,"&gt;=1")</f>
        <v>4</v>
      </c>
      <c r="G38" s="28" t="n">
        <f aca="false">COUNTIF(G$5:G$31,"&gt;=1")</f>
        <v>3</v>
      </c>
      <c r="H38" s="28" t="n">
        <f aca="false">COUNTIF(H$5:H$31,"&gt;=1")</f>
        <v>3</v>
      </c>
      <c r="I38" s="27" t="n">
        <f aca="false">COUNTIF(I$5:I$31,"&gt;=1")</f>
        <v>4</v>
      </c>
      <c r="J38" s="27" t="n">
        <f aca="false">COUNTIF(J$5:J$31,"&gt;=1")</f>
        <v>0</v>
      </c>
      <c r="K38" s="27" t="n">
        <f aca="false">COUNTIF(K$5:K$31,"&gt;=1")</f>
        <v>0</v>
      </c>
      <c r="L38" s="27" t="n">
        <f aca="false">COUNTIF(L$5:L$31,"&gt;=1")</f>
        <v>4</v>
      </c>
      <c r="M38" s="34" t="n">
        <f aca="false">COUNTIF(M$5:M$31,"&gt;=1")</f>
        <v>0</v>
      </c>
      <c r="N38" s="27" t="n">
        <f aca="false">COUNTIF(N$5:N$31,"&gt;=1")</f>
        <v>4</v>
      </c>
      <c r="O38" s="27" t="n">
        <f aca="false">COUNTIF(O$5:O$31,"&gt;=1")</f>
        <v>3</v>
      </c>
      <c r="P38" s="27" t="n">
        <f aca="false">COUNTIF(P$5:P$31,"&gt;=1")</f>
        <v>4</v>
      </c>
      <c r="Q38" s="27" t="n">
        <f aca="false">COUNTIF(Q$5:Q$31,"&gt;=1")</f>
        <v>4</v>
      </c>
      <c r="R38" s="27" t="n">
        <f aca="false">COUNTIF(R$5:R$31,"&gt;=1")</f>
        <v>4</v>
      </c>
      <c r="S38" s="27" t="n">
        <f aca="false">COUNTIF(S$5:S$31,"&gt;=1")</f>
        <v>4</v>
      </c>
      <c r="T38" s="27" t="n">
        <f aca="false">COUNTIF(T$5:T$31,"&gt;=1")</f>
        <v>4</v>
      </c>
      <c r="U38" s="27" t="n">
        <f aca="false">COUNTIF(U$5:U$31,"&gt;=1")</f>
        <v>4</v>
      </c>
      <c r="V38" s="27" t="n">
        <f aca="false">COUNTIF(V$5:V$31,"&gt;=1")</f>
        <v>4</v>
      </c>
      <c r="W38" s="35" t="n">
        <f aca="false">COUNTIF(W$5:W$31,"&gt;=1")</f>
        <v>3</v>
      </c>
      <c r="X38" s="27" t="n">
        <f aca="false">COUNTIF(X$5:X$31,"&gt;=1")</f>
        <v>4</v>
      </c>
      <c r="Y38" s="27" t="n">
        <f aca="false">COUNTIF(Y$5:Y$31,"&gt;=1")</f>
        <v>4</v>
      </c>
      <c r="Z38" s="27" t="n">
        <f aca="false">COUNTIF(Z$5:Z$31,"&gt;=1")</f>
        <v>1</v>
      </c>
      <c r="AA38" s="27" t="n">
        <f aca="false">COUNTIF(AA$5:AA$31,"&gt;=1")</f>
        <v>2</v>
      </c>
      <c r="AB38" s="27" t="n">
        <f aca="false">COUNTIF(AB$5:AB$31,"&gt;=1")</f>
        <v>4</v>
      </c>
      <c r="AC38" s="1" t="n">
        <f aca="false">COUNTIF(AC$5:AC$31,"&gt;=1")</f>
        <v>3</v>
      </c>
      <c r="AD38" s="1" t="n">
        <f aca="false">COUNTIF(AD$5:AD$31,"&gt;=1")</f>
        <v>3</v>
      </c>
      <c r="AE38" s="1" t="n">
        <f aca="false">COUNTIF(AE$5:AE$31,"&gt;=1")</f>
        <v>3</v>
      </c>
      <c r="AF38" s="1" t="n">
        <f aca="false">COUNTIF(AF$5:AF$31,"&gt;=1")</f>
        <v>3</v>
      </c>
      <c r="AG38" s="1" t="n">
        <f aca="false">COUNTIF(AG$5:AG$31,"&gt;=1")</f>
        <v>3</v>
      </c>
      <c r="AH38" s="1" t="n">
        <f aca="false">COUNTIF(AH$5:AH$31,"&gt;=1")</f>
        <v>3</v>
      </c>
      <c r="AZ38" s="4"/>
      <c r="BA38" s="48" t="s">
        <v>217</v>
      </c>
      <c r="BB38" s="48"/>
      <c r="BC38" s="48"/>
      <c r="BD38" s="30" t="s">
        <v>61</v>
      </c>
      <c r="BE38" s="30"/>
      <c r="BH38" s="38" t="s">
        <v>66</v>
      </c>
      <c r="BI38" s="40" t="s">
        <v>218</v>
      </c>
      <c r="BJ38" s="40" t="s">
        <v>219</v>
      </c>
      <c r="BK38" s="40" t="str">
        <f aca="false">" "</f>
        <v> </v>
      </c>
      <c r="BL38" s="40" t="str">
        <f aca="false">" "</f>
        <v> </v>
      </c>
      <c r="BM38" s="0"/>
    </row>
    <row r="39" customFormat="false" ht="16.35" hidden="false" customHeight="true" outlineLevel="0" collapsed="false">
      <c r="B39" s="37" t="s">
        <v>220</v>
      </c>
      <c r="C39" s="27" t="n">
        <v>4</v>
      </c>
      <c r="D39" s="27" t="n">
        <v>4</v>
      </c>
      <c r="E39" s="27" t="n">
        <v>4</v>
      </c>
      <c r="F39" s="27" t="n">
        <v>4</v>
      </c>
      <c r="G39" s="28" t="n">
        <v>2</v>
      </c>
      <c r="H39" s="28" t="n">
        <v>2</v>
      </c>
      <c r="I39" s="27" t="n">
        <v>4</v>
      </c>
      <c r="J39" s="27" t="n">
        <v>0</v>
      </c>
      <c r="K39" s="27" t="n">
        <v>0</v>
      </c>
      <c r="L39" s="27" t="n">
        <v>4</v>
      </c>
      <c r="M39" s="34" t="n">
        <v>0</v>
      </c>
      <c r="N39" s="27" t="n">
        <v>4</v>
      </c>
      <c r="O39" s="27" t="n">
        <v>3</v>
      </c>
      <c r="P39" s="27" t="n">
        <v>4</v>
      </c>
      <c r="Q39" s="27" t="n">
        <v>4</v>
      </c>
      <c r="R39" s="27" t="n">
        <v>4</v>
      </c>
      <c r="S39" s="27" t="n">
        <v>4</v>
      </c>
      <c r="T39" s="27" t="n">
        <v>4</v>
      </c>
      <c r="U39" s="27" t="n">
        <v>4</v>
      </c>
      <c r="V39" s="27" t="n">
        <v>4</v>
      </c>
      <c r="W39" s="35" t="n">
        <v>3</v>
      </c>
      <c r="X39" s="27" t="n">
        <v>4</v>
      </c>
      <c r="Y39" s="27" t="n">
        <v>4</v>
      </c>
      <c r="Z39" s="27" t="n">
        <v>1</v>
      </c>
      <c r="AA39" s="27" t="n">
        <v>2</v>
      </c>
      <c r="AB39" s="27" t="n">
        <v>4</v>
      </c>
      <c r="AC39" s="1" t="n">
        <v>0</v>
      </c>
      <c r="AD39" s="1" t="n">
        <v>0</v>
      </c>
      <c r="AE39" s="1" t="n">
        <v>0</v>
      </c>
      <c r="AF39" s="1" t="n">
        <v>0</v>
      </c>
      <c r="AG39" s="1" t="n">
        <v>0</v>
      </c>
      <c r="AH39" s="1" t="n">
        <v>0</v>
      </c>
      <c r="AZ39" s="4"/>
      <c r="BA39" s="47" t="s">
        <v>221</v>
      </c>
      <c r="BB39" s="47"/>
      <c r="BC39" s="47"/>
      <c r="BD39" s="29" t="s">
        <v>60</v>
      </c>
      <c r="BE39" s="29"/>
      <c r="BH39" s="38" t="s">
        <v>222</v>
      </c>
      <c r="BI39" s="40" t="s">
        <v>223</v>
      </c>
      <c r="BJ39" s="40" t="s">
        <v>224</v>
      </c>
      <c r="BK39" s="40" t="str">
        <f aca="false">" "</f>
        <v> </v>
      </c>
      <c r="BL39" s="40" t="str">
        <f aca="false">" "</f>
        <v> </v>
      </c>
      <c r="BM39" s="0"/>
    </row>
    <row r="40" customFormat="false" ht="16.35" hidden="false" customHeight="true" outlineLevel="0" collapsed="false">
      <c r="B40" s="37" t="s">
        <v>225</v>
      </c>
      <c r="C40" s="27" t="str">
        <f aca="false">IF(C38=C39,"-",C38-C39)</f>
        <v>-</v>
      </c>
      <c r="D40" s="27" t="n">
        <f aca="false">IF(D38=D39,"-",D38-D39)</f>
        <v>1</v>
      </c>
      <c r="E40" s="27" t="str">
        <f aca="false">IF(E38=E39,"-",E38-E39)</f>
        <v>-</v>
      </c>
      <c r="F40" s="27" t="str">
        <f aca="false">IF(F38=F39,"-",F38-F39)</f>
        <v>-</v>
      </c>
      <c r="G40" s="28" t="n">
        <f aca="false">IF(G38=G39,"-",G38-G39)</f>
        <v>1</v>
      </c>
      <c r="H40" s="28" t="n">
        <f aca="false">IF(H38=H39,"-",H38-H39)</f>
        <v>1</v>
      </c>
      <c r="I40" s="27" t="str">
        <f aca="false">IF(I38=I39,"-",I38-I39)</f>
        <v>-</v>
      </c>
      <c r="J40" s="27" t="str">
        <f aca="false">IF(J38=J39,"-",J38-J39)</f>
        <v>-</v>
      </c>
      <c r="K40" s="27" t="str">
        <f aca="false">IF(K38=K39,"-",K38-K39)</f>
        <v>-</v>
      </c>
      <c r="L40" s="27" t="str">
        <f aca="false">IF(L38=L39,"-",L38-L39)</f>
        <v>-</v>
      </c>
      <c r="M40" s="34" t="str">
        <f aca="false">IF(M38=M39,"-",M38-M39)</f>
        <v>-</v>
      </c>
      <c r="N40" s="27" t="str">
        <f aca="false">IF(N38=N39,"-",N38-N39)</f>
        <v>-</v>
      </c>
      <c r="O40" s="27" t="str">
        <f aca="false">IF(O38=O39,"-",O38-O39)</f>
        <v>-</v>
      </c>
      <c r="P40" s="27" t="str">
        <f aca="false">IF(P38=P39,"-",P38-P39)</f>
        <v>-</v>
      </c>
      <c r="Q40" s="27" t="str">
        <f aca="false">IF(Q38=Q39,"-",Q38-Q39)</f>
        <v>-</v>
      </c>
      <c r="R40" s="27" t="str">
        <f aca="false">IF(R38=R39,"-",R38-R39)</f>
        <v>-</v>
      </c>
      <c r="S40" s="27" t="str">
        <f aca="false">IF(S38=S39,"-",S38-S39)</f>
        <v>-</v>
      </c>
      <c r="T40" s="27" t="str">
        <f aca="false">IF(T38=T39,"-",T38-T39)</f>
        <v>-</v>
      </c>
      <c r="U40" s="27" t="str">
        <f aca="false">IF(U38=U39,"-",U38-U39)</f>
        <v>-</v>
      </c>
      <c r="V40" s="27" t="str">
        <f aca="false">IF(V38=V39,"-",V38-V39)</f>
        <v>-</v>
      </c>
      <c r="W40" s="35" t="str">
        <f aca="false">IF(W38=W39,"-",W38-W39)</f>
        <v>-</v>
      </c>
      <c r="X40" s="27" t="str">
        <f aca="false">IF(X38=X39,"-",X38-X39)</f>
        <v>-</v>
      </c>
      <c r="Y40" s="27" t="str">
        <f aca="false">IF(Y38=Y39,"-",Y38-Y39)</f>
        <v>-</v>
      </c>
      <c r="Z40" s="27" t="str">
        <f aca="false">IF(Z38=Z39,"-",Z38-Z39)</f>
        <v>-</v>
      </c>
      <c r="AA40" s="27" t="str">
        <f aca="false">IF(AA38=AA39,"-",AA38-AA39)</f>
        <v>-</v>
      </c>
      <c r="AB40" s="27" t="str">
        <f aca="false">IF(AB38=AB39,"-",AB38-AB39)</f>
        <v>-</v>
      </c>
      <c r="AC40" s="1" t="n">
        <f aca="false">IF(AC38=AC39,"-",AC38-AC39)</f>
        <v>3</v>
      </c>
      <c r="AD40" s="1" t="n">
        <f aca="false">IF(AD38=AD39,"-",AD38-AD39)</f>
        <v>3</v>
      </c>
      <c r="AE40" s="1" t="n">
        <f aca="false">IF(AE38=AE39,"-",AE38-AE39)</f>
        <v>3</v>
      </c>
      <c r="AF40" s="1" t="n">
        <f aca="false">IF(AF38=AF39,"-",AF38-AF39)</f>
        <v>3</v>
      </c>
      <c r="AG40" s="1" t="n">
        <f aca="false">IF(AG38=AG39,"-",AG38-AG39)</f>
        <v>3</v>
      </c>
      <c r="AH40" s="1" t="n">
        <f aca="false">IF(AH38=AH39,"-",AH38-AH39)</f>
        <v>3</v>
      </c>
      <c r="AZ40" s="4"/>
      <c r="BA40" s="47" t="s">
        <v>226</v>
      </c>
      <c r="BB40" s="47"/>
      <c r="BC40" s="47"/>
      <c r="BD40" s="29" t="s">
        <v>58</v>
      </c>
      <c r="BE40" s="29"/>
      <c r="BH40" s="38" t="s">
        <v>71</v>
      </c>
      <c r="BI40" s="40" t="s">
        <v>227</v>
      </c>
      <c r="BJ40" s="40" t="s">
        <v>211</v>
      </c>
      <c r="BK40" s="40" t="s">
        <v>228</v>
      </c>
      <c r="BL40" s="40" t="str">
        <f aca="false">" "</f>
        <v> </v>
      </c>
      <c r="BM40" s="0"/>
    </row>
    <row r="41" customFormat="false" ht="16.5" hidden="false" customHeight="true" outlineLevel="0" collapsed="false">
      <c r="B41" s="5"/>
      <c r="AZ41" s="4"/>
      <c r="BA41" s="47" t="s">
        <v>229</v>
      </c>
      <c r="BB41" s="47"/>
      <c r="BC41" s="47"/>
      <c r="BD41" s="29" t="s">
        <v>230</v>
      </c>
      <c r="BE41" s="29"/>
      <c r="BH41" s="38" t="s">
        <v>60</v>
      </c>
      <c r="BI41" s="40" t="s">
        <v>218</v>
      </c>
      <c r="BJ41" s="40" t="s">
        <v>211</v>
      </c>
      <c r="BK41" s="40" t="s">
        <v>231</v>
      </c>
      <c r="BL41" s="40" t="str">
        <f aca="false">" "</f>
        <v> </v>
      </c>
      <c r="BM41" s="0"/>
    </row>
    <row r="42" customFormat="false" ht="16.5" hidden="false" customHeight="true" outlineLevel="0" collapsed="false">
      <c r="B42" s="49"/>
      <c r="AZ42" s="47" t="s">
        <v>232</v>
      </c>
      <c r="BA42" s="47" t="s">
        <v>233</v>
      </c>
      <c r="BB42" s="47"/>
      <c r="BC42" s="47"/>
      <c r="BD42" s="29" t="s">
        <v>62</v>
      </c>
      <c r="BE42" s="29"/>
      <c r="BH42" s="38" t="s">
        <v>234</v>
      </c>
      <c r="BI42" s="40" t="s">
        <v>218</v>
      </c>
      <c r="BJ42" s="40" t="s">
        <v>211</v>
      </c>
      <c r="BK42" s="40" t="s">
        <v>235</v>
      </c>
      <c r="BL42" s="40" t="str">
        <f aca="false">" "</f>
        <v> </v>
      </c>
      <c r="BM42" s="0"/>
    </row>
    <row r="43" customFormat="false" ht="16.5" hidden="false" customHeight="true" outlineLevel="0" collapsed="false">
      <c r="B43" s="49"/>
      <c r="AZ43" s="47" t="s">
        <v>236</v>
      </c>
      <c r="BA43" s="47"/>
      <c r="BB43" s="47"/>
      <c r="BC43" s="47"/>
      <c r="BD43" s="29" t="s">
        <v>59</v>
      </c>
      <c r="BE43" s="29"/>
      <c r="BH43" s="38" t="n">
        <v>5</v>
      </c>
      <c r="BI43" s="40" t="s">
        <v>237</v>
      </c>
      <c r="BJ43" s="40" t="str">
        <f aca="false">" "</f>
        <v> </v>
      </c>
      <c r="BK43" s="40" t="str">
        <f aca="false">" "</f>
        <v> </v>
      </c>
      <c r="BL43" s="40" t="str">
        <f aca="false">" "</f>
        <v> </v>
      </c>
      <c r="BM43" s="0"/>
    </row>
    <row r="44" customFormat="false" ht="16.5" hidden="false" customHeight="true" outlineLevel="0" collapsed="false">
      <c r="B44" s="49"/>
      <c r="AZ44" s="47" t="s">
        <v>238</v>
      </c>
      <c r="BA44" s="47"/>
      <c r="BB44" s="47"/>
      <c r="BC44" s="47"/>
      <c r="BD44" s="29" t="s">
        <v>239</v>
      </c>
      <c r="BE44" s="29"/>
      <c r="BH44" s="38" t="s">
        <v>240</v>
      </c>
      <c r="BI44" s="40" t="s">
        <v>241</v>
      </c>
      <c r="BJ44" s="40" t="s">
        <v>211</v>
      </c>
      <c r="BK44" s="40" t="s">
        <v>216</v>
      </c>
      <c r="BL44" s="40"/>
      <c r="BM44" s="0"/>
    </row>
    <row r="45" customFormat="false" ht="16.5" hidden="false" customHeight="true" outlineLevel="0" collapsed="false">
      <c r="B45" s="49"/>
      <c r="AZ45" s="47" t="s">
        <v>233</v>
      </c>
      <c r="BA45" s="47"/>
      <c r="BB45" s="47"/>
      <c r="BC45" s="47"/>
      <c r="BD45" s="29" t="s">
        <v>242</v>
      </c>
      <c r="BE45" s="29"/>
      <c r="BH45" s="38" t="s">
        <v>243</v>
      </c>
      <c r="BI45" s="40"/>
      <c r="BJ45" s="40" t="str">
        <f aca="false">" "</f>
        <v> </v>
      </c>
      <c r="BK45" s="40" t="str">
        <f aca="false">" "</f>
        <v> </v>
      </c>
      <c r="BL45" s="40" t="str">
        <f aca="false">" "</f>
        <v> </v>
      </c>
      <c r="BM45" s="0"/>
    </row>
    <row r="46" customFormat="false" ht="15" hidden="false" customHeight="false" outlineLevel="0" collapsed="false">
      <c r="B46" s="49"/>
      <c r="BI46" s="26"/>
      <c r="BJ46" s="31"/>
      <c r="BK46" s="31"/>
      <c r="BL46" s="31"/>
      <c r="BM46" s="0"/>
    </row>
    <row r="47" customFormat="false" ht="15" hidden="false" customHeight="false" outlineLevel="0" collapsed="false">
      <c r="B47" s="49"/>
      <c r="BI47" s="26"/>
      <c r="BJ47" s="31"/>
      <c r="BK47" s="31"/>
      <c r="BL47" s="31"/>
      <c r="BM47" s="32"/>
    </row>
    <row r="48" customFormat="false" ht="15" hidden="false" customHeight="false" outlineLevel="0" collapsed="false">
      <c r="B48" s="49"/>
      <c r="BI48" s="26" t="s">
        <v>244</v>
      </c>
      <c r="BJ48" s="31" t="s">
        <v>245</v>
      </c>
      <c r="BK48" s="31" t="s">
        <v>246</v>
      </c>
      <c r="BL48" s="4" t="s">
        <v>247</v>
      </c>
      <c r="BM48" s="31" t="s">
        <v>248</v>
      </c>
    </row>
    <row r="49" customFormat="false" ht="15" hidden="false" customHeight="false" outlineLevel="0" collapsed="false">
      <c r="B49" s="49"/>
      <c r="BI49" s="26" t="s">
        <v>73</v>
      </c>
      <c r="BJ49" s="31" t="s">
        <v>249</v>
      </c>
      <c r="BK49" s="31" t="s">
        <v>249</v>
      </c>
      <c r="BL49" s="31" t="s">
        <v>250</v>
      </c>
      <c r="BM49" s="4" t="s">
        <v>251</v>
      </c>
    </row>
    <row r="50" customFormat="false" ht="15" hidden="false" customHeight="false" outlineLevel="0" collapsed="false">
      <c r="B50" s="49"/>
      <c r="BI50" s="3" t="s">
        <v>252</v>
      </c>
      <c r="BJ50" s="4" t="s">
        <v>253</v>
      </c>
      <c r="BK50" s="4" t="s">
        <v>254</v>
      </c>
      <c r="BL50" s="4" t="s">
        <v>255</v>
      </c>
      <c r="BM50" s="4" t="s">
        <v>256</v>
      </c>
    </row>
    <row r="51" customFormat="false" ht="15" hidden="false" customHeight="false" outlineLevel="0" collapsed="false">
      <c r="BI51" s="3" t="s">
        <v>257</v>
      </c>
      <c r="BJ51" s="4" t="s">
        <v>258</v>
      </c>
      <c r="BK51" s="4" t="s">
        <v>259</v>
      </c>
      <c r="BL51" s="4" t="s">
        <v>260</v>
      </c>
      <c r="BM51" s="4" t="s">
        <v>261</v>
      </c>
    </row>
    <row r="52" customFormat="false" ht="15" hidden="false" customHeight="false" outlineLevel="0" collapsed="false">
      <c r="BI52" s="4"/>
      <c r="BJ52" s="4" t="s">
        <v>262</v>
      </c>
      <c r="BK52" s="4" t="s">
        <v>263</v>
      </c>
      <c r="BL52" s="4" t="s">
        <v>264</v>
      </c>
      <c r="BM52" s="0"/>
    </row>
    <row r="53" customFormat="false" ht="15" hidden="false" customHeight="false" outlineLevel="0" collapsed="false">
      <c r="BI53" s="3" t="s">
        <v>265</v>
      </c>
      <c r="BJ53" s="0"/>
      <c r="BK53" s="0"/>
      <c r="BL53" s="0"/>
      <c r="BM53" s="0"/>
    </row>
    <row r="54" customFormat="false" ht="15" hidden="false" customHeight="false" outlineLevel="0" collapsed="false">
      <c r="BI54" s="26" t="s">
        <v>266</v>
      </c>
      <c r="BJ54" s="31"/>
      <c r="BK54" s="31"/>
      <c r="BL54" s="31"/>
      <c r="BM54" s="0"/>
    </row>
    <row r="55" customFormat="false" ht="15" hidden="false" customHeight="false" outlineLevel="0" collapsed="false">
      <c r="BI55" s="26" t="s">
        <v>267</v>
      </c>
      <c r="BJ55" s="31"/>
      <c r="BK55" s="31"/>
      <c r="BL55" s="31"/>
      <c r="BM55" s="31"/>
    </row>
    <row r="56" customFormat="false" ht="15" hidden="false" customHeight="false" outlineLevel="0" collapsed="false">
      <c r="BI56" s="26"/>
      <c r="BJ56" s="31"/>
      <c r="BK56" s="31"/>
      <c r="BL56" s="31"/>
      <c r="BM56" s="0"/>
    </row>
    <row r="57" customFormat="false" ht="15" hidden="false" customHeight="false" outlineLevel="0" collapsed="false">
      <c r="BI57" s="26" t="s">
        <v>268</v>
      </c>
      <c r="BJ57" s="31" t="s">
        <v>269</v>
      </c>
      <c r="BK57" s="31" t="s">
        <v>270</v>
      </c>
      <c r="BL57" s="31" t="s">
        <v>271</v>
      </c>
      <c r="BM57" s="0"/>
    </row>
    <row r="58" customFormat="false" ht="15" hidden="false" customHeight="false" outlineLevel="0" collapsed="false">
      <c r="BI58" s="26" t="s">
        <v>272</v>
      </c>
      <c r="BJ58" s="31" t="s">
        <v>273</v>
      </c>
      <c r="BK58" s="31" t="s">
        <v>273</v>
      </c>
      <c r="BL58" s="31" t="s">
        <v>273</v>
      </c>
      <c r="BM58" s="32" t="s">
        <v>273</v>
      </c>
    </row>
    <row r="59" customFormat="false" ht="15" hidden="false" customHeight="false" outlineLevel="0" collapsed="false">
      <c r="BI59" s="26" t="s">
        <v>274</v>
      </c>
      <c r="BJ59" s="31" t="s">
        <v>275</v>
      </c>
      <c r="BK59" s="31" t="s">
        <v>276</v>
      </c>
      <c r="BL59" s="31" t="s">
        <v>277</v>
      </c>
      <c r="BM59" s="31" t="s">
        <v>278</v>
      </c>
    </row>
    <row r="60" customFormat="false" ht="15" hidden="false" customHeight="false" outlineLevel="0" collapsed="false">
      <c r="BI60" s="26" t="s">
        <v>279</v>
      </c>
      <c r="BJ60" s="31" t="s">
        <v>280</v>
      </c>
      <c r="BK60" s="31" t="s">
        <v>281</v>
      </c>
      <c r="BL60" s="31" t="s">
        <v>282</v>
      </c>
      <c r="BM60" s="31" t="s">
        <v>283</v>
      </c>
    </row>
    <row r="61" customFormat="false" ht="15" hidden="false" customHeight="false" outlineLevel="0" collapsed="false">
      <c r="BI61" s="26" t="s">
        <v>274</v>
      </c>
      <c r="BJ61" s="31" t="s">
        <v>275</v>
      </c>
      <c r="BK61" s="31" t="s">
        <v>276</v>
      </c>
      <c r="BL61" s="31" t="s">
        <v>277</v>
      </c>
      <c r="BM61" s="31" t="s">
        <v>278</v>
      </c>
    </row>
  </sheetData>
  <mergeCells count="20">
    <mergeCell ref="BA36:BC36"/>
    <mergeCell ref="BD36:BE36"/>
    <mergeCell ref="BA37:BC37"/>
    <mergeCell ref="BD37:BE37"/>
    <mergeCell ref="BA38:BC38"/>
    <mergeCell ref="BD38:BE38"/>
    <mergeCell ref="BA39:BC39"/>
    <mergeCell ref="BD39:BE39"/>
    <mergeCell ref="BA40:BC40"/>
    <mergeCell ref="BD40:BE40"/>
    <mergeCell ref="BA41:BC41"/>
    <mergeCell ref="BD41:BE41"/>
    <mergeCell ref="AZ42:BC42"/>
    <mergeCell ref="BD42:BE42"/>
    <mergeCell ref="AZ43:BC43"/>
    <mergeCell ref="BD43:BE43"/>
    <mergeCell ref="AZ44:BC44"/>
    <mergeCell ref="BD44:BE44"/>
    <mergeCell ref="AZ45:BC45"/>
    <mergeCell ref="BD45:BE45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0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W4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5" zoomScaleNormal="65" zoomScalePageLayoutView="100" workbookViewId="0">
      <selection pane="topLeft" activeCell="C34" activeCellId="0" sqref="C34"/>
    </sheetView>
  </sheetViews>
  <sheetFormatPr defaultRowHeight="15.75"/>
  <cols>
    <col collapsed="false" hidden="false" max="1" min="1" style="50" width="8.5962962962963"/>
    <col collapsed="false" hidden="false" max="2" min="2" style="50" width="10.0925925925926"/>
    <col collapsed="false" hidden="false" max="4" min="3" style="50" width="8.5962962962963"/>
    <col collapsed="false" hidden="false" max="5" min="5" style="50" width="6.02962962962963"/>
    <col collapsed="false" hidden="false" max="6" min="6" style="50" width="12.7962962962963"/>
    <col collapsed="false" hidden="false" max="7" min="7" style="50" width="16.5925925925926"/>
    <col collapsed="false" hidden="false" max="257" min="8" style="50" width="8.5962962962963"/>
    <col collapsed="false" hidden="false" max="1025" min="258" style="51" width="8.5962962962963"/>
  </cols>
  <sheetData>
    <row r="1" s="50" customFormat="true" ht="16.35" hidden="false" customHeight="true" outlineLevel="0" collapsed="false">
      <c r="B1" s="52" t="s">
        <v>284</v>
      </c>
      <c r="C1" s="53" t="n">
        <v>3340</v>
      </c>
      <c r="D1" s="54" t="str">
        <f aca="false">VLOOKUP(C1,Merge!$A$1:$C$29,3,FALSE())</f>
        <v>Family Day</v>
      </c>
      <c r="E1" s="54"/>
      <c r="F1" s="54"/>
      <c r="G1" s="55" t="n">
        <f aca="false">VLOOKUP(C1,Merge!$A$1:$B$29,2,FALSE())</f>
        <v>40817</v>
      </c>
    </row>
    <row r="2" customFormat="false" ht="16.35" hidden="false" customHeight="true" outlineLevel="0" collapsed="false">
      <c r="A2" s="0"/>
      <c r="B2" s="0"/>
      <c r="C2" s="0"/>
      <c r="D2" s="56" t="s">
        <v>285</v>
      </c>
      <c r="E2" s="52" t="str">
        <f aca="false">VLOOKUP(C1,Merge!$A$1:$H$29,7,FALSE())</f>
        <v>Barry Grear</v>
      </c>
      <c r="F2" s="52"/>
      <c r="G2" s="52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</row>
    <row r="3" customFormat="false" ht="16.35" hidden="false" customHeight="true" outlineLevel="0" collapsed="false">
      <c r="A3" s="0"/>
      <c r="B3" s="0"/>
      <c r="C3" s="0"/>
      <c r="D3" s="56" t="s">
        <v>286</v>
      </c>
      <c r="E3" s="52" t="str">
        <f aca="false">VLOOKUP(C1,Merge!$A$1:$J$29,8,FALSE())</f>
        <v>Rolf Prager</v>
      </c>
      <c r="F3" s="52"/>
      <c r="G3" s="52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</row>
    <row r="4" customFormat="false" ht="16.35" hidden="false" customHeight="true" outlineLevel="0" collapsed="false">
      <c r="A4" s="0"/>
      <c r="B4" s="57" t="s">
        <v>287</v>
      </c>
      <c r="C4" s="58" t="s">
        <v>288</v>
      </c>
      <c r="D4" s="58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</row>
    <row r="5" customFormat="false" ht="16.35" hidden="false" customHeight="true" outlineLevel="0" collapsed="false">
      <c r="A5" s="0"/>
      <c r="B5" s="59"/>
      <c r="C5" s="0"/>
      <c r="D5" s="56" t="s">
        <v>289</v>
      </c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</row>
    <row r="6" customFormat="false" ht="16.35" hidden="false" customHeight="true" outlineLevel="0" collapsed="false">
      <c r="A6" s="0"/>
      <c r="B6" s="59"/>
      <c r="C6" s="56" t="s">
        <v>290</v>
      </c>
      <c r="D6" s="56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</row>
    <row r="7" customFormat="false" ht="16.35" hidden="false" customHeight="true" outlineLevel="0" collapsed="false">
      <c r="A7" s="0"/>
      <c r="B7" s="59"/>
      <c r="C7" s="0"/>
      <c r="D7" s="56" t="s">
        <v>291</v>
      </c>
      <c r="E7" s="52" t="str">
        <f aca="false">VLOOKUP(C1,Merge!$A$1:$I$29,9,FALSE())</f>
        <v>Jim Stewart</v>
      </c>
      <c r="F7" s="52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</row>
    <row r="8" customFormat="false" ht="16.35" hidden="false" customHeight="true" outlineLevel="0" collapsed="false">
      <c r="A8" s="0"/>
      <c r="B8" s="59"/>
      <c r="C8" s="0"/>
      <c r="D8" s="56" t="s">
        <v>292</v>
      </c>
      <c r="E8" s="52" t="s">
        <v>293</v>
      </c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</row>
    <row r="9" customFormat="false" ht="16.35" hidden="false" customHeight="true" outlineLevel="0" collapsed="false">
      <c r="A9" s="0"/>
      <c r="B9" s="57" t="s">
        <v>294</v>
      </c>
      <c r="C9" s="58" t="s">
        <v>295</v>
      </c>
      <c r="D9" s="58"/>
      <c r="E9" s="52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</row>
    <row r="10" customFormat="false" ht="16.35" hidden="false" customHeight="true" outlineLevel="0" collapsed="false">
      <c r="A10" s="0"/>
      <c r="B10" s="60" t="s">
        <v>296</v>
      </c>
      <c r="C10" s="60"/>
      <c r="D10" s="60"/>
      <c r="E10" s="52" t="str">
        <f aca="false">VLOOKUP(C1,Merge!$A$1:$J$29,10,FALSE())</f>
        <v>David Phillips</v>
      </c>
      <c r="F10" s="52"/>
      <c r="G10" s="52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</row>
    <row r="11" customFormat="false" ht="16.35" hidden="false" customHeight="true" outlineLevel="0" collapsed="false">
      <c r="A11" s="0"/>
      <c r="B11" s="59"/>
      <c r="C11" s="0"/>
      <c r="D11" s="56" t="s">
        <v>297</v>
      </c>
      <c r="E11" s="52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</row>
    <row r="12" customFormat="false" ht="16.35" hidden="false" customHeight="true" outlineLevel="0" collapsed="false">
      <c r="A12" s="0"/>
      <c r="B12" s="59"/>
      <c r="C12" s="0"/>
      <c r="D12" s="56" t="s">
        <v>298</v>
      </c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</row>
    <row r="13" customFormat="false" ht="16.35" hidden="false" customHeight="true" outlineLevel="0" collapsed="false">
      <c r="A13" s="0"/>
      <c r="B13" s="59"/>
      <c r="C13" s="0"/>
      <c r="D13" s="56" t="s">
        <v>299</v>
      </c>
      <c r="E13" s="50" t="s">
        <v>232</v>
      </c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</row>
    <row r="14" customFormat="false" ht="16.35" hidden="false" customHeight="true" outlineLevel="0" collapsed="false">
      <c r="A14" s="0"/>
      <c r="B14" s="59"/>
      <c r="C14" s="0"/>
      <c r="D14" s="0"/>
      <c r="E14" s="50" t="s">
        <v>236</v>
      </c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</row>
    <row r="15" customFormat="false" ht="16.35" hidden="false" customHeight="true" outlineLevel="0" collapsed="false">
      <c r="A15" s="0"/>
      <c r="B15" s="59"/>
      <c r="C15" s="0"/>
      <c r="D15" s="0"/>
      <c r="E15" s="50" t="s">
        <v>238</v>
      </c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</row>
    <row r="16" customFormat="false" ht="16.35" hidden="false" customHeight="true" outlineLevel="0" collapsed="false">
      <c r="A16" s="0"/>
      <c r="B16" s="59"/>
      <c r="C16" s="0"/>
      <c r="D16" s="0"/>
      <c r="E16" s="50" t="s">
        <v>300</v>
      </c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</row>
    <row r="17" customFormat="false" ht="16.35" hidden="false" customHeight="true" outlineLevel="0" collapsed="false">
      <c r="A17" s="0"/>
      <c r="B17" s="59"/>
      <c r="C17" s="0"/>
      <c r="D17" s="0"/>
      <c r="E17" s="50" t="s">
        <v>301</v>
      </c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</row>
    <row r="18" customFormat="false" ht="16.35" hidden="false" customHeight="true" outlineLevel="0" collapsed="false">
      <c r="A18" s="0"/>
      <c r="B18" s="59"/>
      <c r="C18" s="0"/>
      <c r="D18" s="0"/>
      <c r="E18" s="50" t="s">
        <v>302</v>
      </c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</row>
    <row r="19" customFormat="false" ht="16.35" hidden="false" customHeight="true" outlineLevel="0" collapsed="false">
      <c r="A19" s="0"/>
      <c r="B19" s="59"/>
      <c r="C19" s="56" t="s">
        <v>303</v>
      </c>
      <c r="D19" s="56"/>
      <c r="E19" s="61" t="str">
        <f aca="false">VLOOKUP(C1,Merge!$A$1:$D$29,4,FALSE())</f>
        <v> </v>
      </c>
      <c r="F19" s="61"/>
      <c r="G19" s="61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</row>
    <row r="20" customFormat="false" ht="16.35" hidden="false" customHeight="true" outlineLevel="0" collapsed="false">
      <c r="A20" s="0"/>
      <c r="B20" s="62" t="n">
        <f aca="false">(VLOOKUP(C1,Merge!$A$1:$L$29,12,FALSE()))</f>
        <v>0.555555555555556</v>
      </c>
      <c r="C20" s="63" t="s">
        <v>40</v>
      </c>
      <c r="D20" s="64"/>
      <c r="E20" s="61" t="str">
        <f aca="false">VLOOKUP(C1,Merge!$A$1:$E$29,5,FALSE())</f>
        <v> </v>
      </c>
      <c r="F20" s="61"/>
      <c r="G20" s="61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</row>
    <row r="21" customFormat="false" ht="16.35" hidden="false" customHeight="true" outlineLevel="0" collapsed="false">
      <c r="A21" s="0"/>
      <c r="B21" s="65" t="str">
        <f aca="false">VLOOKUP($C$1,Merge!$A$1:$M$29,11,FALSE())</f>
        <v>Wilde Statements</v>
      </c>
      <c r="C21" s="65"/>
      <c r="D21" s="65"/>
      <c r="E21" s="66" t="s">
        <v>304</v>
      </c>
      <c r="F21" s="58" t="s">
        <v>305</v>
      </c>
      <c r="G21" s="58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</row>
    <row r="22" customFormat="false" ht="16.35" hidden="false" customHeight="true" outlineLevel="0" collapsed="false">
      <c r="A22" s="0"/>
      <c r="B22" s="67" t="str">
        <f aca="false">VLOOKUP($C$1,Merge!$A$1:$O$29,14,FALSE())</f>
        <v>He hadn't a single redeeming vice.</v>
      </c>
      <c r="C22" s="67" t="str">
        <f aca="false">VLOOKUP($C$1,Merge!$A$1:$O$29,14,FALSE())</f>
        <v>He hadn't a single redeeming vice.</v>
      </c>
      <c r="D22" s="67"/>
      <c r="E22" s="68" t="n">
        <f aca="false">VLOOKUP($C$1,Merge!$A$1:$P$29,15,FALSE())</f>
        <v>5</v>
      </c>
      <c r="F22" s="52" t="str">
        <f aca="false">VLOOKUP($C$1,Merge!$A$1:$N$29,13,FALSE())</f>
        <v>Terry Anderson</v>
      </c>
      <c r="G22" s="52"/>
      <c r="H22" s="56"/>
      <c r="I22" s="56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</row>
    <row r="23" customFormat="false" ht="16.35" hidden="false" customHeight="true" outlineLevel="0" collapsed="false">
      <c r="A23" s="0"/>
      <c r="B23" s="67" t="str">
        <f aca="false">VLOOKUP($C$1,Merge!$A$1:$R$29,17,FALSE())</f>
        <v>Acting is much more real than real life.</v>
      </c>
      <c r="C23" s="67" t="str">
        <f aca="false">VLOOKUP($C$1,Merge!$A$1:$R$29,17,FALSE())</f>
        <v>Acting is much more real than real life.</v>
      </c>
      <c r="D23" s="67"/>
      <c r="E23" s="68" t="n">
        <f aca="false">VLOOKUP($C$1,Merge!$A$1:$R$29,18,FALSE())</f>
        <v>5</v>
      </c>
      <c r="F23" s="52" t="str">
        <f aca="false">VLOOKUP($C$1,Merge!$A$1:$Q$29,16,FALSE())</f>
        <v>Martin Lambert</v>
      </c>
      <c r="G23" s="52"/>
      <c r="H23" s="56"/>
      <c r="I23" s="56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</row>
    <row r="24" customFormat="false" ht="16.35" hidden="false" customHeight="true" outlineLevel="0" collapsed="false">
      <c r="A24" s="0"/>
      <c r="B24" s="67" t="str">
        <f aca="false">VLOOKUP($C$1,Merge!$A$1:$T$29,20,FALSE())</f>
        <v>A true friend stabs you in the front.</v>
      </c>
      <c r="C24" s="67" t="str">
        <f aca="false">VLOOKUP($C$1,Merge!$A$1:$T$29,20,FALSE())</f>
        <v>A true friend stabs you in the front.</v>
      </c>
      <c r="D24" s="67"/>
      <c r="E24" s="68" t="n">
        <f aca="false">VLOOKUP($C$1,Merge!$A$1:$U$29,21,FALSE())</f>
        <v>5</v>
      </c>
      <c r="F24" s="52" t="str">
        <f aca="false">VLOOKUP($C$1,Merge!$A$1:$S$29,19,FALSE())</f>
        <v>Ed McAlister</v>
      </c>
      <c r="G24" s="52"/>
      <c r="H24" s="56"/>
      <c r="I24" s="56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</row>
    <row r="25" customFormat="false" ht="16.35" hidden="false" customHeight="true" outlineLevel="0" collapsed="false">
      <c r="A25" s="0"/>
      <c r="B25" s="67" t="str">
        <f aca="false">VLOOKUP($C$1,Merge!$A$1:$W$29,23,FALSE())</f>
        <v>I can resist everything except temptation.</v>
      </c>
      <c r="C25" s="67" t="str">
        <f aca="false">VLOOKUP($C$1,Merge!$A$1:$W$29,23,FALSE())</f>
        <v>I can resist everything except temptation.</v>
      </c>
      <c r="D25" s="67"/>
      <c r="E25" s="68" t="n">
        <f aca="false">VLOOKUP($C$1,Merge!$A$1:$X$29,24,FALSE())</f>
        <v>5</v>
      </c>
      <c r="F25" s="52" t="str">
        <f aca="false">VLOOKUP($C$1,Merge!$A$1:$V$29,22,FALSE())</f>
        <v>Doug Aylen</v>
      </c>
      <c r="G25" s="52"/>
      <c r="H25" s="56"/>
      <c r="I25" s="56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</row>
    <row r="26" customFormat="false" ht="16.35" hidden="false" customHeight="true" outlineLevel="0" collapsed="false">
      <c r="A26" s="0"/>
      <c r="B26" s="67" t="str">
        <f aca="false">VLOOKUP($C$1,Merge!$A$1:$Z$29,26,FALSE())</f>
        <v> </v>
      </c>
      <c r="C26" s="67" t="str">
        <f aca="false">VLOOKUP($C$1,Merge!$A$1:$Z$29,26,FALSE())</f>
        <v> </v>
      </c>
      <c r="D26" s="67"/>
      <c r="E26" s="68" t="str">
        <f aca="false">VLOOKUP($C$1,Merge!$A$1:$AA$29,27,FALSE())</f>
        <v> </v>
      </c>
      <c r="F26" s="52" t="str">
        <f aca="false">VLOOKUP($C$1,Merge!$A$1:$Y$29,25,FALSE())</f>
        <v> </v>
      </c>
      <c r="G26" s="52"/>
      <c r="H26" s="56"/>
      <c r="I26" s="56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</row>
    <row r="27" customFormat="false" ht="16.35" hidden="false" customHeight="true" outlineLevel="0" collapsed="false">
      <c r="A27" s="0"/>
      <c r="B27" s="67" t="str">
        <f aca="false">VLOOKUP($C$1,Merge!$A$1:$AC$29,29,FALSE())</f>
        <v> </v>
      </c>
      <c r="C27" s="67" t="str">
        <f aca="false">VLOOKUP($C$1,Merge!$A$1:$AC$29,29,FALSE())</f>
        <v> </v>
      </c>
      <c r="D27" s="67"/>
      <c r="E27" s="68" t="str">
        <f aca="false">VLOOKUP($C$1,Merge!$A$1:$AD$29,30,FALSE())</f>
        <v> </v>
      </c>
      <c r="F27" s="52" t="str">
        <f aca="false">VLOOKUP($C$1,Merge!$A$1:$AB$29,28,FALSE())</f>
        <v> </v>
      </c>
      <c r="G27" s="52"/>
      <c r="H27" s="56"/>
      <c r="I27" s="56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</row>
    <row r="28" customFormat="false" ht="16.35" hidden="false" customHeight="true" outlineLevel="0" collapsed="false">
      <c r="A28" s="0"/>
      <c r="B28" s="69" t="n">
        <f aca="false">VLOOKUP(C1+1,Merge!$A$1:$B$29,2,FALSE())</f>
        <v>40824</v>
      </c>
      <c r="C28" s="0"/>
      <c r="D28" s="63" t="str">
        <f aca="false">VLOOKUP(C1+1,Merge!$A$1:$C$29,3,FALSE())</f>
        <v>Normal Meeting</v>
      </c>
      <c r="E28" s="0"/>
      <c r="F28" s="66" t="str">
        <f aca="false">VLOOKUP($C$1+1,Merge!$A$1:$M$29,11,FALSE())</f>
        <v>Square</v>
      </c>
      <c r="G28" s="66"/>
      <c r="H28" s="0"/>
      <c r="I28" s="70"/>
      <c r="J28" s="7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</row>
    <row r="29" customFormat="false" ht="16.35" hidden="false" customHeight="true" outlineLevel="0" collapsed="false">
      <c r="A29" s="0"/>
      <c r="B29" s="69"/>
      <c r="C29" s="65"/>
      <c r="D29" s="65"/>
      <c r="E29" s="68" t="n">
        <f aca="false">VLOOKUP($C$1+1,Merge!$A$1:$P$29,15,FALSE())</f>
        <v>5</v>
      </c>
      <c r="F29" s="52" t="str">
        <f aca="false">VLOOKUP($C$1+1,Merge!$A$1:$N$29,13,FALSE())</f>
        <v>David Phillips</v>
      </c>
      <c r="G29" s="71" t="str">
        <f aca="false">VLOOKUP($C$1+1,Merge!$A$1:$O$29,14,FALSE())</f>
        <v>Square Peg</v>
      </c>
      <c r="H29" s="71"/>
      <c r="I29" s="70"/>
      <c r="J29" s="7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</row>
    <row r="30" customFormat="false" ht="16.35" hidden="false" customHeight="true" outlineLevel="0" collapsed="false">
      <c r="A30" s="0"/>
      <c r="B30" s="60" t="s">
        <v>306</v>
      </c>
      <c r="C30" s="52" t="str">
        <f aca="false">VLOOKUP($C$1+1,Merge!$A$1:$H$29,6,FALSE())</f>
        <v>Don Stuart</v>
      </c>
      <c r="D30" s="52"/>
      <c r="E30" s="68" t="n">
        <f aca="false">VLOOKUP($C$1+1,Merge!$A$1:$R$29,18,FALSE())</f>
        <v>5</v>
      </c>
      <c r="F30" s="52" t="str">
        <f aca="false">VLOOKUP($C$1+1,Merge!$A$1:$Q$29,16,FALSE())</f>
        <v>Bill Stacy</v>
      </c>
      <c r="G30" s="71" t="str">
        <f aca="false">VLOOKUP($C$1+1,Merge!$A$1:$R$29,17,FALSE())</f>
        <v>Square Deal</v>
      </c>
      <c r="H30" s="71"/>
      <c r="I30" s="70"/>
      <c r="J30" s="7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</row>
    <row r="31" customFormat="false" ht="16.35" hidden="false" customHeight="true" outlineLevel="0" collapsed="false">
      <c r="A31" s="0"/>
      <c r="B31" s="60" t="s">
        <v>307</v>
      </c>
      <c r="C31" s="52" t="str">
        <f aca="false">VLOOKUP(C1+1,Merge!$A$1:$H$29,7,FALSE())</f>
        <v>Russell Cutting</v>
      </c>
      <c r="D31" s="52"/>
      <c r="E31" s="68" t="n">
        <f aca="false">VLOOKUP($C$1+1,Merge!$A$1:$U$29,21,FALSE())</f>
        <v>5</v>
      </c>
      <c r="F31" s="52" t="str">
        <f aca="false">VLOOKUP($C$1+1,Merge!$A$1:$S$29,19,FALSE())</f>
        <v>Norm Duncan</v>
      </c>
      <c r="G31" s="71" t="str">
        <f aca="false">VLOOKUP($C$1+1,Merge!$A$1:$T$29,20,FALSE())</f>
        <v>On the Square</v>
      </c>
      <c r="H31" s="71"/>
      <c r="I31" s="70"/>
      <c r="J31" s="7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</row>
    <row r="32" customFormat="false" ht="16.35" hidden="false" customHeight="true" outlineLevel="0" collapsed="false">
      <c r="A32" s="0"/>
      <c r="B32" s="60" t="s">
        <v>308</v>
      </c>
      <c r="C32" s="52" t="str">
        <f aca="false">VLOOKUP(C1+1,Merge!$A$1:$I$29,8,FALSE())</f>
        <v>Viv Samuel</v>
      </c>
      <c r="D32" s="52"/>
      <c r="E32" s="68" t="n">
        <f aca="false">VLOOKUP($C$1+1,Merge!$A$1:$X$29,24,FALSE())</f>
        <v>5</v>
      </c>
      <c r="F32" s="52" t="str">
        <f aca="false">VLOOKUP($C$1+1,Merge!$A$1:$V$29,22,FALSE())</f>
        <v>Peter Martindale</v>
      </c>
      <c r="G32" s="71" t="str">
        <f aca="false">VLOOKUP($C$1+1,Merge!$A$1:$W$29,23,FALSE())</f>
        <v>Squaring the Circle</v>
      </c>
      <c r="H32" s="71"/>
      <c r="I32" s="70"/>
      <c r="J32" s="7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</row>
    <row r="33" customFormat="false" ht="16.35" hidden="false" customHeight="true" outlineLevel="0" collapsed="false">
      <c r="A33" s="0"/>
      <c r="B33" s="60" t="s">
        <v>309</v>
      </c>
      <c r="C33" s="52" t="str">
        <f aca="false">VLOOKUP(C1+1,Merge!$A$1:$J$29,9,FALSE())</f>
        <v>Doug Aylen</v>
      </c>
      <c r="D33" s="52"/>
      <c r="E33" s="68" t="str">
        <f aca="false">VLOOKUP($C$1+1,Merge!$A$1:$AA$29,27,FALSE())</f>
        <v> </v>
      </c>
      <c r="F33" s="52" t="str">
        <f aca="false">VLOOKUP($C$1+1,Merge!$A$1:$Y$29,25,FALSE())</f>
        <v> </v>
      </c>
      <c r="G33" s="71" t="str">
        <f aca="false">VLOOKUP($C$1+1,Merge!$A$1:$Z$29,26,FALSE())</f>
        <v> </v>
      </c>
      <c r="H33" s="71"/>
      <c r="I33" s="70"/>
      <c r="J33" s="7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</row>
    <row r="34" customFormat="false" ht="16.35" hidden="false" customHeight="true" outlineLevel="0" collapsed="false">
      <c r="A34" s="0"/>
      <c r="B34" s="59"/>
      <c r="C34" s="56"/>
      <c r="D34" s="56"/>
      <c r="E34" s="68" t="str">
        <f aca="false">VLOOKUP($C$1+1,Merge!$A$1:$AD$29,30,FALSE())</f>
        <v> </v>
      </c>
      <c r="F34" s="52" t="str">
        <f aca="false">VLOOKUP($C$1+1,Merge!$A$1:$AB$29,28,FALSE())</f>
        <v> </v>
      </c>
      <c r="G34" s="71" t="str">
        <f aca="false">VLOOKUP($C$1+1,Merge!$A$1:$AC$29,29,FALSE())</f>
        <v> </v>
      </c>
      <c r="H34" s="71"/>
      <c r="I34" s="70"/>
      <c r="J34" s="7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</row>
    <row r="35" customFormat="false" ht="16.35" hidden="false" customHeight="true" outlineLevel="0" collapsed="false">
      <c r="B35" s="72" t="n">
        <f aca="false">VLOOKUP(C1+2,Merge!$A$1:$B$29,2,FALSE())</f>
        <v>40831</v>
      </c>
      <c r="C35" s="56"/>
      <c r="D35" s="58" t="str">
        <f aca="false">VLOOKUP(C1+2,Merge!$A$1:$C$29,3,FALSE())</f>
        <v>Normal Meeting</v>
      </c>
      <c r="E35" s="68"/>
      <c r="F35" s="66" t="str">
        <f aca="false">VLOOKUP($C$1+2,Merge!$A$1:$M$29,11,FALSE())</f>
        <v>Bail</v>
      </c>
      <c r="G35" s="66"/>
      <c r="H35" s="71"/>
      <c r="I35" s="70"/>
      <c r="J35" s="70"/>
    </row>
    <row r="36" customFormat="false" ht="16.35" hidden="false" customHeight="true" outlineLevel="0" collapsed="false">
      <c r="B36" s="0"/>
      <c r="C36" s="65"/>
      <c r="D36" s="65"/>
      <c r="E36" s="68" t="n">
        <f aca="false">VLOOKUP($C$1+2,Merge!$A$1:$P$29,15,FALSE())</f>
        <v>7</v>
      </c>
      <c r="F36" s="52" t="str">
        <f aca="false">VLOOKUP($C$1+2,Merge!$A$1:$N$29,13,FALSE())</f>
        <v>Doug Aylen</v>
      </c>
      <c r="G36" s="71" t="str">
        <f aca="false">VLOOKUP($C$1+2,Merge!$A$1:$O$29,14,FALSE())</f>
        <v>Bail Out</v>
      </c>
      <c r="H36" s="71"/>
      <c r="I36" s="70"/>
      <c r="J36" s="70"/>
    </row>
    <row r="37" customFormat="false" ht="16.35" hidden="false" customHeight="true" outlineLevel="0" collapsed="false">
      <c r="B37" s="60" t="s">
        <v>306</v>
      </c>
      <c r="C37" s="52" t="str">
        <f aca="false">VLOOKUP(C1+2,Merge!$A$1:$G$29,6,FALSE())</f>
        <v>Don Stuart</v>
      </c>
      <c r="D37" s="52"/>
      <c r="E37" s="68" t="n">
        <f aca="false">VLOOKUP($C$1+2,Merge!$A$1:$R$29,18,FALSE())</f>
        <v>7</v>
      </c>
      <c r="F37" s="52" t="str">
        <f aca="false">VLOOKUP($C$1+2,Merge!$A$1:$Q$29,16,FALSE())</f>
        <v>Young-Il Kim</v>
      </c>
      <c r="G37" s="71" t="str">
        <f aca="false">VLOOKUP($C$1+2,Merge!$A$1:$R$29,17,FALSE())</f>
        <v>Bail Up</v>
      </c>
      <c r="H37" s="71"/>
      <c r="I37" s="70"/>
      <c r="J37" s="70"/>
    </row>
    <row r="38" customFormat="false" ht="16.35" hidden="false" customHeight="true" outlineLevel="0" collapsed="false">
      <c r="B38" s="60" t="s">
        <v>307</v>
      </c>
      <c r="C38" s="52" t="str">
        <f aca="false">VLOOKUP(C1+2,Merge!$A$1:$H$29,7,FALSE())</f>
        <v>Norm Duncan</v>
      </c>
      <c r="D38" s="52"/>
      <c r="E38" s="68" t="n">
        <f aca="false">VLOOKUP($C$1+2,Merge!$A$1:$U$29,21,FALSE())</f>
        <v>7</v>
      </c>
      <c r="F38" s="52" t="str">
        <f aca="false">VLOOKUP($C$1+2,Merge!$A$1:$S$29,19,FALSE())</f>
        <v>Russell Cutting</v>
      </c>
      <c r="G38" s="71" t="str">
        <f aca="false">VLOOKUP($C$1+2,Merge!$A$1:$T$29,20,FALSE())</f>
        <v>Give Leg Bail</v>
      </c>
      <c r="H38" s="71"/>
      <c r="I38" s="70"/>
      <c r="J38" s="70"/>
    </row>
    <row r="39" customFormat="false" ht="16.35" hidden="false" customHeight="true" outlineLevel="0" collapsed="false">
      <c r="B39" s="60" t="s">
        <v>308</v>
      </c>
      <c r="C39" s="52" t="str">
        <f aca="false">VLOOKUP(C1+2,Merge!$A$1:$I$29,8,FALSE())</f>
        <v>Bill Stacy</v>
      </c>
      <c r="D39" s="52"/>
      <c r="E39" s="68" t="str">
        <f aca="false">VLOOKUP($C$1+2,Merge!$A$1:$X$29,24,FALSE())</f>
        <v> </v>
      </c>
      <c r="F39" s="52" t="str">
        <f aca="false">VLOOKUP($C$1+2,Merge!$A$1:$V$29,22,FALSE())</f>
        <v> </v>
      </c>
      <c r="G39" s="71" t="str">
        <f aca="false">VLOOKUP($C$1+2,Merge!$A$1:$W$29,23,FALSE())</f>
        <v> </v>
      </c>
      <c r="H39" s="71"/>
      <c r="I39" s="70"/>
      <c r="J39" s="70"/>
    </row>
    <row r="40" customFormat="false" ht="16.35" hidden="false" customHeight="true" outlineLevel="0" collapsed="false">
      <c r="B40" s="60" t="s">
        <v>309</v>
      </c>
      <c r="C40" s="52" t="str">
        <f aca="false">VLOOKUP(C1+2,Merge!$A$1:$J$29,9,FALSE())</f>
        <v>Kym Beverley</v>
      </c>
      <c r="D40" s="52"/>
      <c r="E40" s="68" t="str">
        <f aca="false">VLOOKUP($C$1+2,Merge!$A$1:$AA$29,27,FALSE())</f>
        <v> </v>
      </c>
      <c r="F40" s="52" t="str">
        <f aca="false">VLOOKUP($C$1+2,Merge!$A$1:$Y$29,25,FALSE())</f>
        <v> </v>
      </c>
      <c r="G40" s="71" t="str">
        <f aca="false">VLOOKUP($C$1+2,Merge!$A$1:$Z$29,26,FALSE())</f>
        <v> </v>
      </c>
      <c r="H40" s="71"/>
      <c r="I40" s="68"/>
      <c r="J40" s="70"/>
    </row>
    <row r="41" customFormat="false" ht="16.35" hidden="false" customHeight="true" outlineLevel="0" collapsed="false">
      <c r="B41" s="59"/>
      <c r="C41" s="0"/>
      <c r="D41" s="0"/>
      <c r="E41" s="68" t="str">
        <f aca="false">VLOOKUP($C$1+2,Merge!$A$1:$AD$29,30,FALSE())</f>
        <v> </v>
      </c>
      <c r="F41" s="52" t="str">
        <f aca="false">VLOOKUP($C$1+2,Merge!$A$1:$AB$29,28,FALSE())</f>
        <v> </v>
      </c>
      <c r="G41" s="71" t="str">
        <f aca="false">VLOOKUP($C$1+2,Merge!$A$1:$AC$29,29,FALSE())</f>
        <v> </v>
      </c>
      <c r="H41" s="71"/>
      <c r="I41" s="68"/>
      <c r="J41" s="70"/>
    </row>
    <row r="42" customFormat="false" ht="16.35" hidden="false" customHeight="true" outlineLevel="0" collapsed="false">
      <c r="B42" s="57" t="s">
        <v>310</v>
      </c>
      <c r="C42" s="58" t="s">
        <v>214</v>
      </c>
      <c r="D42" s="52" t="str">
        <f aca="false">VLOOKUP($C$1,Merge!$A$1:$H$29,6,FALSE())</f>
        <v>Don Stuart</v>
      </c>
      <c r="E42" s="52"/>
      <c r="F42" s="52"/>
    </row>
    <row r="43" customFormat="false" ht="16.35" hidden="false" customHeight="true" outlineLevel="0" collapsed="false">
      <c r="B43" s="59"/>
      <c r="C43" s="65"/>
      <c r="D43" s="65"/>
      <c r="E43" s="65"/>
    </row>
    <row r="44" customFormat="false" ht="16.35" hidden="false" customHeight="true" outlineLevel="0" collapsed="false">
      <c r="B44" s="57" t="s">
        <v>311</v>
      </c>
      <c r="C44" s="52" t="s">
        <v>312</v>
      </c>
      <c r="D44" s="52"/>
      <c r="E44" s="52"/>
    </row>
    <row r="45" customFormat="false" ht="16.35" hidden="false" customHeight="true" outlineLevel="0" collapsed="false">
      <c r="B45" s="59"/>
      <c r="C45" s="52" t="s">
        <v>313</v>
      </c>
      <c r="D45" s="52"/>
      <c r="E45" s="52"/>
    </row>
    <row r="46" customFormat="false" ht="16.35" hidden="false" customHeight="true" outlineLevel="0" collapsed="false">
      <c r="B46" s="59"/>
      <c r="C46" s="52" t="s">
        <v>314</v>
      </c>
      <c r="D46" s="52"/>
      <c r="E46" s="52"/>
    </row>
    <row r="47" customFormat="false" ht="16.35" hidden="false" customHeight="true" outlineLevel="0" collapsed="false">
      <c r="B47" s="59"/>
      <c r="C47" s="52"/>
      <c r="D47" s="52"/>
      <c r="E47" s="52"/>
    </row>
    <row r="48" customFormat="false" ht="16.35" hidden="false" customHeight="true" outlineLevel="0" collapsed="false">
      <c r="B48" s="57" t="s">
        <v>315</v>
      </c>
      <c r="C48" s="63" t="s">
        <v>316</v>
      </c>
    </row>
  </sheetData>
  <mergeCells count="65">
    <mergeCell ref="D1:F1"/>
    <mergeCell ref="E2:G2"/>
    <mergeCell ref="E3:G3"/>
    <mergeCell ref="C4:D4"/>
    <mergeCell ref="C6:D6"/>
    <mergeCell ref="E7:F7"/>
    <mergeCell ref="C9:D9"/>
    <mergeCell ref="B10:D10"/>
    <mergeCell ref="E10:G10"/>
    <mergeCell ref="E13:F13"/>
    <mergeCell ref="E14:F14"/>
    <mergeCell ref="E15:F15"/>
    <mergeCell ref="E16:F16"/>
    <mergeCell ref="E17:F17"/>
    <mergeCell ref="E18:F18"/>
    <mergeCell ref="C19:D19"/>
    <mergeCell ref="E19:G19"/>
    <mergeCell ref="E20:G20"/>
    <mergeCell ref="B21:D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F28:G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  <mergeCell ref="G34:H34"/>
    <mergeCell ref="F35:G35"/>
    <mergeCell ref="C36:D36"/>
    <mergeCell ref="G36:H36"/>
    <mergeCell ref="C37:D37"/>
    <mergeCell ref="G37:H37"/>
    <mergeCell ref="C38:D38"/>
    <mergeCell ref="G38:H38"/>
    <mergeCell ref="C39:D39"/>
    <mergeCell ref="G39:H39"/>
    <mergeCell ref="C40:D40"/>
    <mergeCell ref="G40:H40"/>
    <mergeCell ref="G41:H41"/>
    <mergeCell ref="D42:F42"/>
    <mergeCell ref="C44:D44"/>
    <mergeCell ref="C45:D45"/>
    <mergeCell ref="C46:D46"/>
  </mergeCells>
  <printOptions headings="false" gridLines="false" gridLinesSet="true" horizontalCentered="false" verticalCentered="false"/>
  <pageMargins left="0" right="0" top="0.7875" bottom="0" header="0.3937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&amp;C&amp;"Palatino,Bold"&amp;14Rostrum Club No. 3 Agenda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W197"/>
  <sheetViews>
    <sheetView windowProtection="false" showFormulas="false" showGridLines="true" showRowColHeaders="true" showZeros="true" rightToLeft="false" tabSelected="true" showOutlineSymbols="true" defaultGridColor="true" view="normal" topLeftCell="A120" colorId="64" zoomScale="65" zoomScaleNormal="65" zoomScalePageLayoutView="100" workbookViewId="0">
      <selection pane="topLeft" activeCell="B192" activeCellId="0" sqref="B192"/>
    </sheetView>
  </sheetViews>
  <sheetFormatPr defaultRowHeight="12.8"/>
  <cols>
    <col collapsed="false" hidden="false" max="1" min="1" style="73" width="8.5962962962963"/>
    <col collapsed="false" hidden="false" max="2" min="2" style="74" width="8.5962962962963"/>
    <col collapsed="false" hidden="false" max="3" min="3" style="75" width="14"/>
    <col collapsed="false" hidden="false" max="4" min="4" style="74" width="12.9037037037037"/>
    <col collapsed="false" hidden="false" max="5" min="5" style="73" width="5.90740740740741"/>
    <col collapsed="false" hidden="false" max="6" min="6" style="75" width="26.0222222222222"/>
    <col collapsed="false" hidden="false" max="257" min="7" style="73" width="8.5962962962963"/>
    <col collapsed="false" hidden="false" max="1025" min="258" style="0" width="8.5962962962963"/>
  </cols>
  <sheetData>
    <row r="1" s="78" customFormat="true" ht="27.75" hidden="false" customHeight="true" outlineLevel="0" collapsed="false">
      <c r="A1" s="76" t="s">
        <v>317</v>
      </c>
      <c r="B1" s="76"/>
      <c r="C1" s="76"/>
      <c r="D1" s="76"/>
      <c r="E1" s="76"/>
      <c r="F1" s="76"/>
      <c r="G1" s="76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  <c r="HH1" s="77"/>
      <c r="HI1" s="77"/>
      <c r="HJ1" s="77"/>
      <c r="HK1" s="77"/>
      <c r="HL1" s="77"/>
      <c r="HM1" s="77"/>
      <c r="HN1" s="77"/>
      <c r="HO1" s="77"/>
      <c r="HP1" s="77"/>
      <c r="HQ1" s="77"/>
      <c r="HR1" s="77"/>
      <c r="HS1" s="77"/>
      <c r="HT1" s="77"/>
      <c r="HU1" s="77"/>
      <c r="HV1" s="77"/>
      <c r="HW1" s="77"/>
      <c r="HX1" s="77"/>
      <c r="HY1" s="77"/>
      <c r="HZ1" s="77"/>
      <c r="IA1" s="77"/>
      <c r="IB1" s="77"/>
      <c r="IC1" s="77"/>
      <c r="ID1" s="77"/>
      <c r="IE1" s="77"/>
      <c r="IF1" s="77"/>
      <c r="IG1" s="77"/>
      <c r="IH1" s="77"/>
      <c r="II1" s="77"/>
      <c r="IJ1" s="77"/>
      <c r="IK1" s="77"/>
      <c r="IL1" s="77"/>
      <c r="IM1" s="77"/>
      <c r="IN1" s="77"/>
      <c r="IO1" s="77"/>
      <c r="IP1" s="77"/>
      <c r="IQ1" s="77"/>
      <c r="IR1" s="77"/>
      <c r="IS1" s="77"/>
      <c r="IT1" s="77"/>
      <c r="IU1" s="77"/>
      <c r="IV1" s="77"/>
      <c r="IW1" s="77"/>
    </row>
    <row r="2" customFormat="false" ht="14.15" hidden="false" customHeight="true" outlineLevel="0" collapsed="false">
      <c r="B2" s="79" t="n">
        <f aca="false">Master!A4</f>
        <v>3327</v>
      </c>
      <c r="C2" s="80" t="n">
        <f aca="false">VLOOKUP(B2,Merge!$A$1:$AC$29,2,FALSE())</f>
        <v>40726</v>
      </c>
      <c r="D2" s="81" t="s">
        <v>229</v>
      </c>
      <c r="E2" s="82" t="s">
        <v>304</v>
      </c>
      <c r="F2" s="83" t="str">
        <f aca="false">VLOOKUP(B2,Merge!$A$1:$AD$29,11,FALSE())</f>
        <v>The Oceans</v>
      </c>
    </row>
    <row r="3" customFormat="false" ht="14.15" hidden="false" customHeight="true" outlineLevel="0" collapsed="false">
      <c r="B3" s="84" t="str">
        <f aca="false">VLOOKUP(B2,Merge!$A$1:$AC$29,3,FALSE())</f>
        <v>Handover Day</v>
      </c>
      <c r="C3" s="84"/>
      <c r="D3" s="85" t="str">
        <f aca="false">VLOOKUP(B2,Merge!$A$1:$AD$29,13,FALSE())</f>
        <v>Russell Cutting</v>
      </c>
      <c r="E3" s="86" t="n">
        <f aca="false">VLOOKUP($B2,Merge!$A$1:$AD$29,15,FALSE())</f>
        <v>6</v>
      </c>
      <c r="F3" s="87" t="str">
        <f aca="false">VLOOKUP(B2,Merge!$A$1:$AD$29,14,FALSE())</f>
        <v>Sharks</v>
      </c>
    </row>
    <row r="4" customFormat="false" ht="14.15" hidden="false" customHeight="true" outlineLevel="0" collapsed="false">
      <c r="B4" s="88" t="s">
        <v>306</v>
      </c>
      <c r="C4" s="89" t="str">
        <f aca="false">VLOOKUP(B2,Merge!$A$1:$AD$29,6,FALSE())</f>
        <v>Don Stuart</v>
      </c>
      <c r="D4" s="85" t="str">
        <f aca="false">VLOOKUP(B2,Merge!$A$1:$AD$29,16,FALSE())</f>
        <v>Viv Samuel</v>
      </c>
      <c r="E4" s="86" t="n">
        <f aca="false">VLOOKUP($B2,Merge!$A$1:$AD$29,18,FALSE())</f>
        <v>6</v>
      </c>
      <c r="F4" s="87" t="str">
        <f aca="false">VLOOKUP(B2,Merge!$A$1:$AD$29,17,FALSE())</f>
        <v>Whales</v>
      </c>
    </row>
    <row r="5" customFormat="false" ht="14.15" hidden="false" customHeight="true" outlineLevel="0" collapsed="false">
      <c r="B5" s="88" t="s">
        <v>318</v>
      </c>
      <c r="C5" s="89" t="str">
        <f aca="false">VLOOKUP(B2,Merge!$A$1:$AD$29,7,FALSE())</f>
        <v>Bill Stacy</v>
      </c>
      <c r="D5" s="85" t="str">
        <f aca="false">VLOOKUP(B2,Merge!$A$1:$AD$29,19,FALSE())</f>
        <v>Barry Grear</v>
      </c>
      <c r="E5" s="86" t="n">
        <f aca="false">VLOOKUP($B2,Merge!$A$1:$AD$29,21,FALSE())</f>
        <v>6</v>
      </c>
      <c r="F5" s="87" t="str">
        <f aca="false">VLOOKUP(B2,Merge!$A$1:$AD$29,20,FALSE())</f>
        <v>Pollution</v>
      </c>
    </row>
    <row r="6" customFormat="false" ht="14.15" hidden="false" customHeight="true" outlineLevel="0" collapsed="false">
      <c r="B6" s="88" t="s">
        <v>308</v>
      </c>
      <c r="C6" s="89" t="str">
        <f aca="false">VLOOKUP(B2,Merge!$A$1:$AD$29,8,FALSE())</f>
        <v>Barry Dwyer</v>
      </c>
      <c r="D6" s="85" t="str">
        <f aca="false">VLOOKUP(B2,Merge!$A$1:$AD$29,22,FALSE())</f>
        <v> </v>
      </c>
      <c r="E6" s="90" t="str">
        <f aca="false">VLOOKUP($B2,Merge!$A$1:$AD$29,24,FALSE())</f>
        <v> </v>
      </c>
      <c r="F6" s="89" t="str">
        <f aca="false">VLOOKUP(B2,Merge!$A$1:$AD$29,23,FALSE())</f>
        <v> </v>
      </c>
    </row>
    <row r="7" customFormat="false" ht="14.15" hidden="false" customHeight="true" outlineLevel="0" collapsed="false">
      <c r="B7" s="88" t="s">
        <v>309</v>
      </c>
      <c r="C7" s="89" t="str">
        <f aca="false">VLOOKUP(B2,Merge!$A$1:$AD$29,9,FALSE())</f>
        <v>Geoff Holden</v>
      </c>
      <c r="D7" s="85" t="str">
        <f aca="false">VLOOKUP(B2,Merge!$A$1:$AD$29,25,FALSE())</f>
        <v> </v>
      </c>
      <c r="E7" s="90" t="str">
        <f aca="false">VLOOKUP($B2,Merge!$A$1:$AD$29,27,FALSE())</f>
        <v> </v>
      </c>
      <c r="F7" s="89" t="str">
        <f aca="false">VLOOKUP(B2,Merge!$A$1:$AD$29,26,FALSE())</f>
        <v> </v>
      </c>
    </row>
    <row r="8" customFormat="false" ht="14.15" hidden="false" customHeight="true" outlineLevel="0" collapsed="false">
      <c r="B8" s="88"/>
      <c r="C8" s="89"/>
      <c r="D8" s="85" t="str">
        <f aca="false">VLOOKUP(B2,Merge!$A$1:$AD$29,28,FALSE())</f>
        <v> </v>
      </c>
      <c r="E8" s="90" t="str">
        <f aca="false">VLOOKUP($B2,Merge!$A$1:$AD$29,30,FALSE())</f>
        <v> </v>
      </c>
      <c r="F8" s="89" t="str">
        <f aca="false">VLOOKUP(B2,Merge!$A$1:$AD$29,29,FALSE())</f>
        <v> </v>
      </c>
    </row>
    <row r="9" customFormat="false" ht="14.15" hidden="false" customHeight="true" outlineLevel="0" collapsed="false">
      <c r="B9" s="79" t="n">
        <f aca="false">B2+1</f>
        <v>3328</v>
      </c>
      <c r="C9" s="80" t="n">
        <f aca="false">VLOOKUP(B9,Merge!$A$1:$AC$29,2,FALSE())</f>
        <v>40733</v>
      </c>
      <c r="D9" s="81" t="s">
        <v>229</v>
      </c>
      <c r="E9" s="82" t="s">
        <v>304</v>
      </c>
      <c r="F9" s="83" t="str">
        <f aca="false">VLOOKUP(B9,Merge!$A$1:$AD$29,11,FALSE())</f>
        <v>Is it worth a visit?</v>
      </c>
    </row>
    <row r="10" customFormat="false" ht="14.15" hidden="false" customHeight="true" outlineLevel="0" collapsed="false">
      <c r="B10" s="84" t="str">
        <f aca="false">VLOOKUP(B9,Merge!$A$1:$AC$29,3,FALSE())</f>
        <v>Normal Meeting</v>
      </c>
      <c r="C10" s="84"/>
      <c r="D10" s="85" t="str">
        <f aca="false">VLOOKUP(B9,Merge!$A$1:$AD$29,13,FALSE())</f>
        <v>Young-Il Kim</v>
      </c>
      <c r="E10" s="86" t="n">
        <f aca="false">VLOOKUP($B9,Merge!$A$1:$AD$29,15,FALSE())</f>
        <v>5</v>
      </c>
      <c r="F10" s="87" t="str">
        <f aca="false">VLOOKUP(B9,Merge!$A$1:$AD$29,14,FALSE())</f>
        <v>South America</v>
      </c>
    </row>
    <row r="11" customFormat="false" ht="14.15" hidden="false" customHeight="true" outlineLevel="0" collapsed="false">
      <c r="B11" s="88" t="s">
        <v>306</v>
      </c>
      <c r="C11" s="89" t="str">
        <f aca="false">VLOOKUP(B9,Merge!$A$1:$AD$29,6,FALSE())</f>
        <v>Don Stuart</v>
      </c>
      <c r="D11" s="85" t="str">
        <f aca="false">VLOOKUP(B9,Merge!$A$1:$AD$29,16,FALSE())</f>
        <v>David Phillips</v>
      </c>
      <c r="E11" s="86" t="n">
        <f aca="false">VLOOKUP($B9,Merge!$A$1:$AD$29,18,FALSE())</f>
        <v>5</v>
      </c>
      <c r="F11" s="87" t="str">
        <f aca="false">VLOOKUP(B9,Merge!$A$1:$AD$29,17,FALSE())</f>
        <v>Indonesia</v>
      </c>
    </row>
    <row r="12" customFormat="false" ht="14.15" hidden="false" customHeight="true" outlineLevel="0" collapsed="false">
      <c r="B12" s="88" t="s">
        <v>318</v>
      </c>
      <c r="C12" s="89" t="str">
        <f aca="false">VLOOKUP(B9,Merge!$A$1:$AD$29,7,FALSE())</f>
        <v>Terry Anderson</v>
      </c>
      <c r="D12" s="85" t="str">
        <f aca="false">VLOOKUP(B9,Merge!$A$1:$AD$29,19,FALSE())</f>
        <v>Alistair Knight</v>
      </c>
      <c r="E12" s="86" t="n">
        <f aca="false">VLOOKUP($B9,Merge!$A$1:$AD$29,21,FALSE())</f>
        <v>5</v>
      </c>
      <c r="F12" s="87" t="str">
        <f aca="false">VLOOKUP(B9,Merge!$A$1:$AD$29,20,FALSE())</f>
        <v>Middle East</v>
      </c>
    </row>
    <row r="13" customFormat="false" ht="14.15" hidden="false" customHeight="true" outlineLevel="0" collapsed="false">
      <c r="B13" s="88" t="s">
        <v>308</v>
      </c>
      <c r="C13" s="89" t="str">
        <f aca="false">VLOOKUP(B9,Merge!$A$1:$AD$29,8,FALSE())</f>
        <v>Russell Cutting</v>
      </c>
      <c r="D13" s="85" t="str">
        <f aca="false">VLOOKUP(B9,Merge!$A$1:$AD$29,22,FALSE())</f>
        <v>Jim Stewart</v>
      </c>
      <c r="E13" s="90" t="n">
        <f aca="false">VLOOKUP($B9,Merge!$A$1:$AD$29,24,FALSE())</f>
        <v>5</v>
      </c>
      <c r="F13" s="89" t="str">
        <f aca="false">VLOOKUP(B9,Merge!$A$1:$AD$29,23,FALSE())</f>
        <v>Russia</v>
      </c>
    </row>
    <row r="14" customFormat="false" ht="14.15" hidden="false" customHeight="true" outlineLevel="0" collapsed="false">
      <c r="B14" s="88" t="s">
        <v>309</v>
      </c>
      <c r="C14" s="89" t="str">
        <f aca="false">VLOOKUP(B9,Merge!$A$1:$AD$29,9,FALSE())</f>
        <v>Martin Lambert</v>
      </c>
      <c r="D14" s="85" t="str">
        <f aca="false">VLOOKUP(B9,Merge!$A$1:$AD$29,25,FALSE())</f>
        <v> </v>
      </c>
      <c r="E14" s="90" t="str">
        <f aca="false">VLOOKUP($B9,Merge!$A$1:$AD$29,27,FALSE())</f>
        <v> </v>
      </c>
      <c r="F14" s="89" t="str">
        <f aca="false">VLOOKUP(B9,Merge!$A$1:$AD$29,26,FALSE())</f>
        <v> </v>
      </c>
    </row>
    <row r="15" customFormat="false" ht="14.15" hidden="false" customHeight="true" outlineLevel="0" collapsed="false">
      <c r="B15" s="88"/>
      <c r="C15" s="89"/>
      <c r="D15" s="85" t="str">
        <f aca="false">VLOOKUP(B9,Merge!$A$1:$AD$29,28,FALSE())</f>
        <v> </v>
      </c>
      <c r="E15" s="90" t="str">
        <f aca="false">VLOOKUP($B9,Merge!$A$1:$AD$29,30,FALSE())</f>
        <v> </v>
      </c>
      <c r="F15" s="89" t="str">
        <f aca="false">VLOOKUP(B9,Merge!$A$1:$AD$29,29,FALSE())</f>
        <v> </v>
      </c>
    </row>
    <row r="16" customFormat="false" ht="14.15" hidden="false" customHeight="true" outlineLevel="0" collapsed="false">
      <c r="B16" s="79" t="n">
        <f aca="false">B9+1</f>
        <v>3329</v>
      </c>
      <c r="C16" s="80" t="n">
        <f aca="false">VLOOKUP(B16,Merge!$A$1:$AC$29,2,FALSE())</f>
        <v>40740</v>
      </c>
      <c r="D16" s="81" t="s">
        <v>229</v>
      </c>
      <c r="E16" s="82" t="s">
        <v>304</v>
      </c>
      <c r="F16" s="83" t="str">
        <f aca="false">VLOOKUP(B16,Merge!$A$1:$AD$29,11,FALSE())</f>
        <v>Natural Hazards</v>
      </c>
    </row>
    <row r="17" customFormat="false" ht="14.15" hidden="false" customHeight="true" outlineLevel="0" collapsed="false">
      <c r="B17" s="84" t="str">
        <f aca="false">VLOOKUP(B16,Merge!$A$1:$AC$29,3,FALSE())</f>
        <v>Normal Meeting</v>
      </c>
      <c r="C17" s="84"/>
      <c r="D17" s="85" t="str">
        <f aca="false">VLOOKUP(B16,Merge!$A$1:$AD$29,13,FALSE())</f>
        <v>Norm Duncan</v>
      </c>
      <c r="E17" s="86" t="n">
        <f aca="false">VLOOKUP($B16,Merge!$A$1:$AD$29,15,FALSE())</f>
        <v>5</v>
      </c>
      <c r="F17" s="87" t="str">
        <f aca="false">VLOOKUP(B16,Merge!$A$1:$AD$29,14,FALSE())</f>
        <v>Spiders</v>
      </c>
    </row>
    <row r="18" customFormat="false" ht="14.15" hidden="false" customHeight="true" outlineLevel="0" collapsed="false">
      <c r="B18" s="88" t="s">
        <v>306</v>
      </c>
      <c r="C18" s="89" t="str">
        <f aca="false">VLOOKUP(B16,Merge!$A$1:$AD$29,6,FALSE())</f>
        <v>Don Stuart</v>
      </c>
      <c r="D18" s="85" t="str">
        <f aca="false">VLOOKUP(B16,Merge!$A$1:$AD$29,16,FALSE())</f>
        <v>Rolf Prager</v>
      </c>
      <c r="E18" s="86" t="n">
        <f aca="false">VLOOKUP($B16,Merge!$A$1:$AD$29,18,FALSE())</f>
        <v>5</v>
      </c>
      <c r="F18" s="87" t="str">
        <f aca="false">VLOOKUP(B16,Merge!$A$1:$AD$29,17,FALSE())</f>
        <v>Bushfires</v>
      </c>
    </row>
    <row r="19" customFormat="false" ht="14.15" hidden="false" customHeight="true" outlineLevel="0" collapsed="false">
      <c r="B19" s="88" t="s">
        <v>318</v>
      </c>
      <c r="C19" s="89" t="str">
        <f aca="false">VLOOKUP(B16,Merge!$A$1:$AD$29,7,FALSE())</f>
        <v>Geoff Holden</v>
      </c>
      <c r="D19" s="85" t="str">
        <f aca="false">VLOOKUP(B16,Merge!$A$1:$AD$29,19,FALSE())</f>
        <v>Alistair Knight</v>
      </c>
      <c r="E19" s="86" t="n">
        <f aca="false">VLOOKUP($B16,Merge!$A$1:$AD$29,21,FALSE())</f>
        <v>5</v>
      </c>
      <c r="F19" s="87" t="str">
        <f aca="false">VLOOKUP(B16,Merge!$A$1:$AD$29,20,FALSE())</f>
        <v>Cyclones</v>
      </c>
    </row>
    <row r="20" customFormat="false" ht="14.15" hidden="false" customHeight="true" outlineLevel="0" collapsed="false">
      <c r="B20" s="88" t="s">
        <v>308</v>
      </c>
      <c r="C20" s="89" t="str">
        <f aca="false">VLOOKUP(B16,Merge!$A$1:$AD$29,8,FALSE())</f>
        <v>Bill Stacy</v>
      </c>
      <c r="D20" s="85" t="str">
        <f aca="false">VLOOKUP(B16,Merge!$A$1:$AD$29,22,FALSE())</f>
        <v>Peter Martindale</v>
      </c>
      <c r="E20" s="90" t="n">
        <f aca="false">VLOOKUP($B16,Merge!$A$1:$AD$29,24,FALSE())</f>
        <v>5</v>
      </c>
      <c r="F20" s="89" t="str">
        <f aca="false">VLOOKUP(B16,Merge!$A$1:$AD$29,23,FALSE())</f>
        <v>Snakes</v>
      </c>
    </row>
    <row r="21" customFormat="false" ht="14.15" hidden="false" customHeight="true" outlineLevel="0" collapsed="false">
      <c r="B21" s="88" t="s">
        <v>309</v>
      </c>
      <c r="C21" s="89" t="str">
        <f aca="false">VLOOKUP(B16,Merge!$A$1:$AD$29,9,FALSE())</f>
        <v>Jim Stewart</v>
      </c>
      <c r="D21" s="85" t="str">
        <f aca="false">VLOOKUP(B16,Merge!$A$1:$AD$29,25,FALSE())</f>
        <v> </v>
      </c>
      <c r="E21" s="90" t="str">
        <f aca="false">VLOOKUP($B16,Merge!$A$1:$AD$29,27,FALSE())</f>
        <v> </v>
      </c>
      <c r="F21" s="89" t="str">
        <f aca="false">VLOOKUP(B16,Merge!$A$1:$AD$29,26,FALSE())</f>
        <v> </v>
      </c>
    </row>
    <row r="22" customFormat="false" ht="14.15" hidden="false" customHeight="true" outlineLevel="0" collapsed="false">
      <c r="B22" s="88"/>
      <c r="C22" s="89"/>
      <c r="D22" s="85" t="str">
        <f aca="false">VLOOKUP(B16,Merge!$A$1:$AD$29,28,FALSE())</f>
        <v> </v>
      </c>
      <c r="E22" s="90" t="str">
        <f aca="false">VLOOKUP($B16,Merge!$A$1:$AD$29,30,FALSE())</f>
        <v> </v>
      </c>
      <c r="F22" s="89" t="str">
        <f aca="false">VLOOKUP(B16,Merge!$A$1:$AD$29,29,FALSE())</f>
        <v> </v>
      </c>
    </row>
    <row r="23" customFormat="false" ht="14.15" hidden="false" customHeight="true" outlineLevel="0" collapsed="false">
      <c r="B23" s="79" t="n">
        <f aca="false">B16+1</f>
        <v>3330</v>
      </c>
      <c r="C23" s="80" t="n">
        <f aca="false">VLOOKUP(B23,Merge!$A$1:$AC$29,2,FALSE())</f>
        <v>40747</v>
      </c>
      <c r="D23" s="81" t="s">
        <v>229</v>
      </c>
      <c r="E23" s="82" t="s">
        <v>304</v>
      </c>
      <c r="F23" s="83" t="str">
        <f aca="false">VLOOKUP(B23,Merge!$A$1:$AD$29,11,FALSE())</f>
        <v>Win</v>
      </c>
    </row>
    <row r="24" customFormat="false" ht="14.15" hidden="false" customHeight="true" outlineLevel="0" collapsed="false">
      <c r="B24" s="84" t="str">
        <f aca="false">VLOOKUP(B23,Merge!$A$1:$AC$29,3,FALSE())</f>
        <v>Normal Meeting</v>
      </c>
      <c r="C24" s="84"/>
      <c r="D24" s="85" t="str">
        <f aca="false">VLOOKUP(B23,Merge!$A$1:$AD$29,13,FALSE())</f>
        <v>Kym Beverley</v>
      </c>
      <c r="E24" s="86" t="n">
        <f aca="false">VLOOKUP($B23,Merge!$A$1:$AD$29,15,FALSE())</f>
        <v>6</v>
      </c>
      <c r="F24" s="87" t="str">
        <f aca="false">VLOOKUP(B23,Merge!$A$1:$AD$29,14,FALSE())</f>
        <v>Winning Ways</v>
      </c>
    </row>
    <row r="25" customFormat="false" ht="14.15" hidden="false" customHeight="true" outlineLevel="0" collapsed="false">
      <c r="B25" s="88" t="s">
        <v>306</v>
      </c>
      <c r="C25" s="89" t="str">
        <f aca="false">VLOOKUP(B23,Merge!$A$1:$AD$29,6,FALSE())</f>
        <v>Don Stuart</v>
      </c>
      <c r="D25" s="85" t="str">
        <f aca="false">VLOOKUP(B23,Merge!$A$1:$AD$29,16,FALSE())</f>
        <v>Barry Dwyer</v>
      </c>
      <c r="E25" s="86" t="n">
        <f aca="false">VLOOKUP($B23,Merge!$A$1:$AD$29,18,FALSE())</f>
        <v>4</v>
      </c>
      <c r="F25" s="87" t="str">
        <f aca="false">VLOOKUP(B23,Merge!$A$1:$AD$29,17,FALSE())</f>
        <v>A Win-Win Situation</v>
      </c>
    </row>
    <row r="26" customFormat="false" ht="14.15" hidden="false" customHeight="true" outlineLevel="0" collapsed="false">
      <c r="B26" s="88" t="s">
        <v>318</v>
      </c>
      <c r="C26" s="89" t="str">
        <f aca="false">VLOOKUP(B23,Merge!$A$1:$AD$29,7,FALSE())</f>
        <v>Young-Il Kim</v>
      </c>
      <c r="D26" s="85" t="str">
        <f aca="false">VLOOKUP(B23,Merge!$A$1:$AD$29,19,FALSE())</f>
        <v>David Knight</v>
      </c>
      <c r="E26" s="86" t="n">
        <f aca="false">VLOOKUP($B23,Merge!$A$1:$AD$29,21,FALSE())</f>
        <v>6</v>
      </c>
      <c r="F26" s="87" t="str">
        <f aca="false">VLOOKUP(B23,Merge!$A$1:$AD$29,20,FALSE())</f>
        <v>Winning over</v>
      </c>
    </row>
    <row r="27" customFormat="false" ht="14.15" hidden="false" customHeight="true" outlineLevel="0" collapsed="false">
      <c r="B27" s="88" t="s">
        <v>308</v>
      </c>
      <c r="C27" s="89" t="str">
        <f aca="false">VLOOKUP(B23,Merge!$A$1:$AD$29,8,FALSE())</f>
        <v>Doug Aylen</v>
      </c>
      <c r="D27" s="85" t="str">
        <f aca="false">VLOOKUP(B23,Merge!$A$1:$AD$29,22,FALSE())</f>
        <v>Martin Lambert</v>
      </c>
      <c r="E27" s="90" t="n">
        <f aca="false">VLOOKUP($B23,Merge!$A$1:$AD$29,24,FALSE())</f>
        <v>4</v>
      </c>
      <c r="F27" s="89" t="str">
        <f aca="false">VLOOKUP(B23,Merge!$A$1:$AD$29,23,FALSE())</f>
        <v>Winning One's Spurs</v>
      </c>
    </row>
    <row r="28" customFormat="false" ht="14.15" hidden="false" customHeight="true" outlineLevel="0" collapsed="false">
      <c r="B28" s="88" t="s">
        <v>309</v>
      </c>
      <c r="C28" s="89" t="str">
        <f aca="false">VLOOKUP(B23,Merge!$A$1:$AD$29,9,FALSE())</f>
        <v>Terry Anderson</v>
      </c>
      <c r="D28" s="85" t="str">
        <f aca="false">VLOOKUP(B23,Merge!$A$1:$AD$29,25,FALSE())</f>
        <v> </v>
      </c>
      <c r="E28" s="90" t="str">
        <f aca="false">VLOOKUP($B23,Merge!$A$1:$AD$29,27,FALSE())</f>
        <v> </v>
      </c>
      <c r="F28" s="89" t="str">
        <f aca="false">VLOOKUP(B23,Merge!$A$1:$AD$29,26,FALSE())</f>
        <v> </v>
      </c>
    </row>
    <row r="29" customFormat="false" ht="14.15" hidden="false" customHeight="true" outlineLevel="0" collapsed="false">
      <c r="B29" s="88"/>
      <c r="C29" s="89"/>
      <c r="D29" s="85" t="str">
        <f aca="false">VLOOKUP(B23,Merge!$A$1:$AD$29,28,FALSE())</f>
        <v> </v>
      </c>
      <c r="E29" s="90" t="str">
        <f aca="false">VLOOKUP($B23,Merge!$A$1:$AD$29,30,FALSE())</f>
        <v> </v>
      </c>
      <c r="F29" s="89" t="str">
        <f aca="false">VLOOKUP(B23,Merge!$A$1:$AD$29,29,FALSE())</f>
        <v> </v>
      </c>
    </row>
    <row r="30" customFormat="false" ht="14.15" hidden="false" customHeight="true" outlineLevel="0" collapsed="false">
      <c r="B30" s="79" t="n">
        <f aca="false">B23+1</f>
        <v>3331</v>
      </c>
      <c r="C30" s="80" t="n">
        <f aca="false">VLOOKUP(B30,Merge!$A$1:$AC$29,2,FALSE())</f>
        <v>40754</v>
      </c>
      <c r="D30" s="81" t="s">
        <v>229</v>
      </c>
      <c r="E30" s="82" t="s">
        <v>304</v>
      </c>
      <c r="F30" s="83" t="str">
        <f aca="false">VLOOKUP(B30,Merge!$A$1:$AD$29,11,FALSE())</f>
        <v>Tie</v>
      </c>
    </row>
    <row r="31" customFormat="false" ht="14.15" hidden="false" customHeight="true" outlineLevel="0" collapsed="false">
      <c r="B31" s="84" t="str">
        <f aca="false">VLOOKUP(B30,Merge!$A$1:$AC$29,3,FALSE())</f>
        <v>Fifth Friday Frolic</v>
      </c>
      <c r="C31" s="84"/>
      <c r="D31" s="85" t="str">
        <f aca="false">VLOOKUP(B30,Merge!$A$1:$AD$29,13,FALSE())</f>
        <v>Doug Aylen</v>
      </c>
      <c r="E31" s="86" t="n">
        <f aca="false">VLOOKUP($B30,Merge!$A$1:$AD$29,15,FALSE())</f>
        <v>4</v>
      </c>
      <c r="F31" s="87" t="str">
        <f aca="false">VLOOKUP(B30,Merge!$A$1:$AD$29,14,FALSE())</f>
        <v>Old School Tie</v>
      </c>
    </row>
    <row r="32" customFormat="false" ht="14.15" hidden="false" customHeight="true" outlineLevel="0" collapsed="false">
      <c r="B32" s="88" t="s">
        <v>306</v>
      </c>
      <c r="C32" s="89" t="str">
        <f aca="false">VLOOKUP(B30,Merge!$A$1:$AD$29,6,FALSE())</f>
        <v>Don Stuart</v>
      </c>
      <c r="D32" s="85" t="str">
        <f aca="false">VLOOKUP(B30,Merge!$A$1:$AD$29,16,FALSE())</f>
        <v>Arthur Daw</v>
      </c>
      <c r="E32" s="86" t="n">
        <f aca="false">VLOOKUP($B30,Merge!$A$1:$AD$29,18,FALSE())</f>
        <v>6</v>
      </c>
      <c r="F32" s="87" t="str">
        <f aca="false">VLOOKUP(B30,Merge!$A$1:$AD$29,17,FALSE())</f>
        <v>Family Ties</v>
      </c>
    </row>
    <row r="33" customFormat="false" ht="14.15" hidden="false" customHeight="true" outlineLevel="0" collapsed="false">
      <c r="B33" s="88" t="s">
        <v>318</v>
      </c>
      <c r="C33" s="89" t="str">
        <f aca="false">VLOOKUP(B30,Merge!$A$1:$AD$29,7,FALSE())</f>
        <v>David Knight</v>
      </c>
      <c r="D33" s="85" t="str">
        <f aca="false">VLOOKUP(B30,Merge!$A$1:$AD$29,19,FALSE())</f>
        <v>Young-Il Kim</v>
      </c>
      <c r="E33" s="86" t="n">
        <f aca="false">VLOOKUP($B30,Merge!$A$1:$AD$29,21,FALSE())</f>
        <v>4</v>
      </c>
      <c r="F33" s="87" t="str">
        <f aca="false">VLOOKUP(B30,Merge!$A$1:$AD$29,20,FALSE())</f>
        <v>Fit to be Tied</v>
      </c>
    </row>
    <row r="34" customFormat="false" ht="14.15" hidden="false" customHeight="true" outlineLevel="0" collapsed="false">
      <c r="B34" s="88" t="s">
        <v>308</v>
      </c>
      <c r="C34" s="89" t="str">
        <f aca="false">VLOOKUP(B30,Merge!$A$1:$AD$29,8,FALSE())</f>
        <v>Kym Beverley</v>
      </c>
      <c r="D34" s="85" t="str">
        <f aca="false">VLOOKUP(B30,Merge!$A$1:$AD$29,22,FALSE())</f>
        <v>Viv Samuel</v>
      </c>
      <c r="E34" s="90" t="n">
        <f aca="false">VLOOKUP($B30,Merge!$A$1:$AD$29,24,FALSE())</f>
        <v>6</v>
      </c>
      <c r="F34" s="89" t="str">
        <f aca="false">VLOOKUP(B30,Merge!$A$1:$AD$29,23,FALSE())</f>
        <v>Tie-ins</v>
      </c>
    </row>
    <row r="35" customFormat="false" ht="14.15" hidden="false" customHeight="true" outlineLevel="0" collapsed="false">
      <c r="B35" s="88" t="s">
        <v>309</v>
      </c>
      <c r="C35" s="89" t="str">
        <f aca="false">VLOOKUP(B30,Merge!$A$1:$AD$29,9,FALSE())</f>
        <v>Russell Cutting</v>
      </c>
      <c r="D35" s="85" t="str">
        <f aca="false">VLOOKUP(B30,Merge!$A$1:$AD$29,25,FALSE())</f>
        <v> </v>
      </c>
      <c r="E35" s="90" t="str">
        <f aca="false">VLOOKUP($B30,Merge!$A$1:$AD$29,27,FALSE())</f>
        <v> </v>
      </c>
      <c r="F35" s="89" t="str">
        <f aca="false">VLOOKUP(B30,Merge!$A$1:$AD$29,26,FALSE())</f>
        <v> </v>
      </c>
    </row>
    <row r="36" customFormat="false" ht="14.15" hidden="false" customHeight="true" outlineLevel="0" collapsed="false">
      <c r="B36" s="88"/>
      <c r="C36" s="89"/>
      <c r="D36" s="85" t="str">
        <f aca="false">VLOOKUP(B30,Merge!$A$1:$AD$29,28,FALSE())</f>
        <v> </v>
      </c>
      <c r="E36" s="90" t="str">
        <f aca="false">VLOOKUP($B30,Merge!$A$1:$AD$29,30,FALSE())</f>
        <v> </v>
      </c>
      <c r="F36" s="89" t="str">
        <f aca="false">VLOOKUP(B30,Merge!$A$1:$AD$29,29,FALSE())</f>
        <v> </v>
      </c>
    </row>
    <row r="37" customFormat="false" ht="14.15" hidden="false" customHeight="true" outlineLevel="0" collapsed="false">
      <c r="B37" s="79" t="n">
        <f aca="false">B30+1</f>
        <v>3332</v>
      </c>
      <c r="C37" s="80" t="n">
        <f aca="false">VLOOKUP(B37,Merge!$A$1:$AC$29,2,FALSE())</f>
        <v>40761</v>
      </c>
      <c r="D37" s="81" t="s">
        <v>229</v>
      </c>
      <c r="E37" s="82" t="s">
        <v>304</v>
      </c>
      <c r="F37" s="83" t="str">
        <f aca="false">VLOOKUP(B37,Merge!$A$1:$AD$29,11,FALSE())</f>
        <v>Stumps</v>
      </c>
    </row>
    <row r="38" customFormat="false" ht="14.15" hidden="false" customHeight="true" outlineLevel="0" collapsed="false">
      <c r="B38" s="84" t="str">
        <f aca="false">VLOOKUP(B37,Merge!$A$1:$AC$29,3,FALSE())</f>
        <v>Normal Meeting</v>
      </c>
      <c r="C38" s="84"/>
      <c r="D38" s="85" t="str">
        <f aca="false">VLOOKUP(B37,Merge!$A$1:$AD$29,13,FALSE())</f>
        <v>Russell Cutting</v>
      </c>
      <c r="E38" s="86" t="n">
        <f aca="false">VLOOKUP($B37,Merge!$A$1:$AD$29,15,FALSE())</f>
        <v>7</v>
      </c>
      <c r="F38" s="87" t="str">
        <f aca="false">VLOOKUP(B37,Merge!$A$1:$AD$29,14,FALSE())</f>
        <v>Completely Stumped</v>
      </c>
    </row>
    <row r="39" customFormat="false" ht="14.15" hidden="false" customHeight="true" outlineLevel="0" collapsed="false">
      <c r="B39" s="88" t="s">
        <v>306</v>
      </c>
      <c r="C39" s="89" t="str">
        <f aca="false">VLOOKUP(B37,Merge!$A$1:$AD$29,6,FALSE())</f>
        <v>Don Stuart</v>
      </c>
      <c r="D39" s="85" t="str">
        <f aca="false">VLOOKUP(B37,Merge!$A$1:$AD$29,16,FALSE())</f>
        <v>Ed McAlister</v>
      </c>
      <c r="E39" s="86" t="n">
        <f aca="false">VLOOKUP($B37,Merge!$A$1:$AD$29,18,FALSE())</f>
        <v>7</v>
      </c>
      <c r="F39" s="87" t="str">
        <f aca="false">VLOOKUP(B37,Merge!$A$1:$AD$29,17,FALSE())</f>
        <v>Tree Stump</v>
      </c>
    </row>
    <row r="40" customFormat="false" ht="14.15" hidden="false" customHeight="true" outlineLevel="0" collapsed="false">
      <c r="B40" s="88" t="s">
        <v>318</v>
      </c>
      <c r="C40" s="89" t="str">
        <f aca="false">VLOOKUP(B37,Merge!$A$1:$AD$29,7,FALSE())</f>
        <v>Martin Lambert</v>
      </c>
      <c r="D40" s="85" t="str">
        <f aca="false">VLOOKUP(B37,Merge!$A$1:$AD$29,19,FALSE())</f>
        <v>Bill Stacy</v>
      </c>
      <c r="E40" s="86" t="n">
        <f aca="false">VLOOKUP($B37,Merge!$A$1:$AD$29,21,FALSE())</f>
        <v>7</v>
      </c>
      <c r="F40" s="87" t="str">
        <f aca="false">VLOOKUP(B37,Merge!$A$1:$AD$29,20,FALSE())</f>
        <v>Beyond the Black Stump</v>
      </c>
    </row>
    <row r="41" customFormat="false" ht="14.15" hidden="false" customHeight="true" outlineLevel="0" collapsed="false">
      <c r="B41" s="88" t="s">
        <v>308</v>
      </c>
      <c r="C41" s="89" t="str">
        <f aca="false">VLOOKUP(B37,Merge!$A$1:$AD$29,8,FALSE())</f>
        <v>Barry Grear</v>
      </c>
      <c r="D41" s="85" t="str">
        <f aca="false">VLOOKUP(B37,Merge!$A$1:$AD$29,22,FALSE())</f>
        <v> </v>
      </c>
      <c r="E41" s="90" t="str">
        <f aca="false">VLOOKUP($B37,Merge!$A$1:$AD$29,24,FALSE())</f>
        <v> </v>
      </c>
      <c r="F41" s="89" t="str">
        <f aca="false">VLOOKUP(B37,Merge!$A$1:$AD$29,23,FALSE())</f>
        <v> </v>
      </c>
    </row>
    <row r="42" customFormat="false" ht="14.15" hidden="false" customHeight="true" outlineLevel="0" collapsed="false">
      <c r="B42" s="88" t="s">
        <v>309</v>
      </c>
      <c r="C42" s="89" t="str">
        <f aca="false">VLOOKUP(B37,Merge!$A$1:$AD$29,9,FALSE())</f>
        <v>Arthur Daw</v>
      </c>
      <c r="D42" s="85" t="str">
        <f aca="false">VLOOKUP(B37,Merge!$A$1:$AD$29,25,FALSE())</f>
        <v> </v>
      </c>
      <c r="E42" s="90" t="str">
        <f aca="false">VLOOKUP($B37,Merge!$A$1:$AD$29,27,FALSE())</f>
        <v> </v>
      </c>
      <c r="F42" s="89" t="str">
        <f aca="false">VLOOKUP(B37,Merge!$A$1:$AD$29,26,FALSE())</f>
        <v> </v>
      </c>
    </row>
    <row r="43" customFormat="false" ht="14.15" hidden="false" customHeight="true" outlineLevel="0" collapsed="false">
      <c r="B43" s="88"/>
      <c r="C43" s="89"/>
      <c r="D43" s="85" t="str">
        <f aca="false">VLOOKUP(B37,Merge!$A$1:$AD$29,28,FALSE())</f>
        <v> </v>
      </c>
      <c r="E43" s="90" t="str">
        <f aca="false">VLOOKUP($B37,Merge!$A$1:$AD$29,30,FALSE())</f>
        <v> </v>
      </c>
      <c r="F43" s="89" t="str">
        <f aca="false">VLOOKUP(B37,Merge!$A$1:$AD$29,29,FALSE())</f>
        <v> </v>
      </c>
    </row>
    <row r="44" customFormat="false" ht="14.15" hidden="false" customHeight="true" outlineLevel="0" collapsed="false">
      <c r="B44" s="79" t="n">
        <f aca="false">B37+1</f>
        <v>3333</v>
      </c>
      <c r="C44" s="80" t="n">
        <f aca="false">VLOOKUP(B44,Merge!$A$1:$AC$29,2,FALSE())</f>
        <v>40768</v>
      </c>
      <c r="D44" s="81" t="s">
        <v>229</v>
      </c>
      <c r="E44" s="82" t="s">
        <v>304</v>
      </c>
      <c r="F44" s="83" t="str">
        <f aca="false">VLOOKUP(B44,Merge!$A$1:$AD$29,11,FALSE())</f>
        <v>Balls</v>
      </c>
    </row>
    <row r="45" customFormat="false" ht="14.15" hidden="false" customHeight="true" outlineLevel="0" collapsed="false">
      <c r="B45" s="84" t="str">
        <f aca="false">VLOOKUP(B44,Merge!$A$1:$AC$29,3,FALSE())</f>
        <v>Normal Meeting</v>
      </c>
      <c r="C45" s="84"/>
      <c r="D45" s="85" t="str">
        <f aca="false">VLOOKUP(B44,Merge!$A$1:$AD$29,13,FALSE())</f>
        <v>Chao-Shui Xu</v>
      </c>
      <c r="E45" s="86" t="n">
        <f aca="false">VLOOKUP($B44,Merge!$A$1:$AD$29,15,FALSE())</f>
        <v>4</v>
      </c>
      <c r="F45" s="87" t="str">
        <f aca="false">VLOOKUP(B44,Merge!$A$1:$AD$29,14,FALSE())</f>
        <v>A Lot of Balls</v>
      </c>
    </row>
    <row r="46" customFormat="false" ht="14.15" hidden="false" customHeight="true" outlineLevel="0" collapsed="false">
      <c r="B46" s="88" t="s">
        <v>306</v>
      </c>
      <c r="C46" s="89" t="str">
        <f aca="false">VLOOKUP(B44,Merge!$A$1:$AD$29,6,FALSE())</f>
        <v>Don Stuart</v>
      </c>
      <c r="D46" s="85" t="str">
        <f aca="false">VLOOKUP(B44,Merge!$A$1:$AD$29,16,FALSE())</f>
        <v> </v>
      </c>
      <c r="E46" s="86" t="n">
        <f aca="false">VLOOKUP($B44,Merge!$A$1:$AD$29,18,FALSE())</f>
        <v>6</v>
      </c>
      <c r="F46" s="87" t="str">
        <f aca="false">VLOOKUP(B44,Merge!$A$1:$AD$29,17,FALSE())</f>
        <v>Ball and Chain</v>
      </c>
    </row>
    <row r="47" customFormat="false" ht="14.15" hidden="false" customHeight="true" outlineLevel="0" collapsed="false">
      <c r="B47" s="88" t="s">
        <v>318</v>
      </c>
      <c r="C47" s="89" t="str">
        <f aca="false">VLOOKUP(B44,Merge!$A$1:$AD$29,7,FALSE())</f>
        <v>Peter Martindale</v>
      </c>
      <c r="D47" s="85" t="str">
        <f aca="false">VLOOKUP(B44,Merge!$A$1:$AD$29,19,FALSE())</f>
        <v> </v>
      </c>
      <c r="E47" s="86" t="n">
        <f aca="false">VLOOKUP($B44,Merge!$A$1:$AD$29,21,FALSE())</f>
        <v>4</v>
      </c>
      <c r="F47" s="87" t="str">
        <f aca="false">VLOOKUP(B44,Merge!$A$1:$AD$29,20,FALSE())</f>
        <v>Keep the Ball Rolling</v>
      </c>
    </row>
    <row r="48" customFormat="false" ht="14.15" hidden="false" customHeight="true" outlineLevel="0" collapsed="false">
      <c r="B48" s="88" t="s">
        <v>308</v>
      </c>
      <c r="C48" s="89" t="str">
        <f aca="false">VLOOKUP(B44,Merge!$A$1:$AD$29,8,FALSE())</f>
        <v>Geoff Holden</v>
      </c>
      <c r="D48" s="85" t="str">
        <f aca="false">VLOOKUP(B44,Merge!$A$1:$AD$29,22,FALSE())</f>
        <v>David Phillips</v>
      </c>
      <c r="E48" s="90" t="n">
        <f aca="false">VLOOKUP($B44,Merge!$A$1:$AD$29,24,FALSE())</f>
        <v>6</v>
      </c>
      <c r="F48" s="89" t="str">
        <f aca="false">VLOOKUP(B44,Merge!$A$1:$AD$29,23,FALSE())</f>
        <v>After the Ball</v>
      </c>
    </row>
    <row r="49" customFormat="false" ht="14.15" hidden="false" customHeight="true" outlineLevel="0" collapsed="false">
      <c r="B49" s="88" t="s">
        <v>309</v>
      </c>
      <c r="C49" s="89" t="str">
        <f aca="false">VLOOKUP(B44,Merge!$A$1:$AD$29,9,FALSE())</f>
        <v>Norm Duncan</v>
      </c>
      <c r="D49" s="85" t="str">
        <f aca="false">VLOOKUP(B44,Merge!$A$1:$AD$29,25,FALSE())</f>
        <v>Jim Stewart</v>
      </c>
      <c r="E49" s="90" t="str">
        <f aca="false">VLOOKUP($B44,Merge!$A$1:$AD$29,27,FALSE())</f>
        <v> </v>
      </c>
      <c r="F49" s="89" t="str">
        <f aca="false">VLOOKUP(B44,Merge!$A$1:$AD$29,26,FALSE())</f>
        <v> </v>
      </c>
    </row>
    <row r="50" customFormat="false" ht="14.15" hidden="false" customHeight="true" outlineLevel="0" collapsed="false">
      <c r="B50" s="88"/>
      <c r="C50" s="89"/>
      <c r="D50" s="85" t="str">
        <f aca="false">VLOOKUP(B44,Merge!$A$1:$AD$29,28,FALSE())</f>
        <v> </v>
      </c>
      <c r="E50" s="90" t="str">
        <f aca="false">VLOOKUP($B44,Merge!$A$1:$AD$29,30,FALSE())</f>
        <v> </v>
      </c>
      <c r="F50" s="89" t="str">
        <f aca="false">VLOOKUP(B44,Merge!$A$1:$AD$29,29,FALSE())</f>
        <v> </v>
      </c>
    </row>
    <row r="51" customFormat="false" ht="14.15" hidden="false" customHeight="true" outlineLevel="0" collapsed="false">
      <c r="B51" s="79" t="n">
        <f aca="false">B44+1</f>
        <v>3334</v>
      </c>
      <c r="C51" s="80" t="n">
        <f aca="false">VLOOKUP(B51,Merge!$A$1:$AC$29,2,FALSE())</f>
        <v>40775</v>
      </c>
      <c r="D51" s="81" t="s">
        <v>229</v>
      </c>
      <c r="E51" s="82" t="s">
        <v>304</v>
      </c>
      <c r="F51" s="83" t="str">
        <f aca="false">VLOOKUP(B51,Merge!$A$1:$AD$29,11,FALSE())</f>
        <v>Over</v>
      </c>
    </row>
    <row r="52" customFormat="false" ht="14.15" hidden="false" customHeight="true" outlineLevel="0" collapsed="false">
      <c r="B52" s="84" t="str">
        <f aca="false">VLOOKUP(B51,Merge!$A$1:$AC$29,3,FALSE())</f>
        <v>Normal Meeting</v>
      </c>
      <c r="C52" s="84"/>
      <c r="D52" s="85" t="str">
        <f aca="false">VLOOKUP(B51,Merge!$A$1:$AD$29,13,FALSE())</f>
        <v>Barry Grear</v>
      </c>
      <c r="E52" s="86" t="n">
        <f aca="false">VLOOKUP($B51,Merge!$A$1:$AD$29,15,FALSE())</f>
        <v>6</v>
      </c>
      <c r="F52" s="87" t="str">
        <f aca="false">VLOOKUP(B51,Merge!$A$1:$AD$29,14,FALSE())</f>
        <v>Over the Top</v>
      </c>
    </row>
    <row r="53" customFormat="false" ht="14.15" hidden="false" customHeight="true" outlineLevel="0" collapsed="false">
      <c r="B53" s="88" t="s">
        <v>306</v>
      </c>
      <c r="C53" s="89" t="str">
        <f aca="false">VLOOKUP(B51,Merge!$A$1:$AD$29,6,FALSE())</f>
        <v>Don Stuart</v>
      </c>
      <c r="D53" s="85" t="str">
        <f aca="false">VLOOKUP(B51,Merge!$A$1:$AD$29,16,FALSE())</f>
        <v>Rolf Prager</v>
      </c>
      <c r="E53" s="86" t="n">
        <f aca="false">VLOOKUP($B51,Merge!$A$1:$AD$29,18,FALSE())</f>
        <v>6</v>
      </c>
      <c r="F53" s="87" t="str">
        <f aca="false">VLOOKUP(B51,Merge!$A$1:$AD$29,17,FALSE())</f>
        <v>Over the Counter</v>
      </c>
    </row>
    <row r="54" customFormat="false" ht="14.15" hidden="false" customHeight="true" outlineLevel="0" collapsed="false">
      <c r="B54" s="88" t="s">
        <v>318</v>
      </c>
      <c r="C54" s="89" t="str">
        <f aca="false">VLOOKUP(B51,Merge!$A$1:$AD$29,7,FALSE())</f>
        <v>Ed McAlister</v>
      </c>
      <c r="D54" s="85" t="str">
        <f aca="false">VLOOKUP(B51,Merge!$A$1:$AD$29,19,FALSE())</f>
        <v>Barry Dwyer</v>
      </c>
      <c r="E54" s="86" t="n">
        <f aca="false">VLOOKUP($B51,Merge!$A$1:$AD$29,21,FALSE())</f>
        <v>4</v>
      </c>
      <c r="F54" s="87" t="str">
        <f aca="false">VLOOKUP(B51,Merge!$A$1:$AD$29,20,FALSE())</f>
        <v>Over the Hill</v>
      </c>
    </row>
    <row r="55" customFormat="false" ht="14.15" hidden="false" customHeight="true" outlineLevel="0" collapsed="false">
      <c r="B55" s="88" t="s">
        <v>308</v>
      </c>
      <c r="C55" s="89" t="str">
        <f aca="false">VLOOKUP(B51,Merge!$A$1:$AD$29,8,FALSE())</f>
        <v>Young-Il Kim</v>
      </c>
      <c r="D55" s="85" t="str">
        <f aca="false">VLOOKUP(B51,Merge!$A$1:$AD$29,22,FALSE())</f>
        <v>David Knight</v>
      </c>
      <c r="E55" s="90" t="n">
        <f aca="false">VLOOKUP($B51,Merge!$A$1:$AD$29,24,FALSE())</f>
        <v>4</v>
      </c>
      <c r="F55" s="89" t="str">
        <f aca="false">VLOOKUP(B51,Merge!$A$1:$AD$29,23,FALSE())</f>
        <v>Over the Moon</v>
      </c>
    </row>
    <row r="56" customFormat="false" ht="14.15" hidden="false" customHeight="true" outlineLevel="0" collapsed="false">
      <c r="B56" s="88" t="s">
        <v>309</v>
      </c>
      <c r="C56" s="89" t="str">
        <f aca="false">VLOOKUP(B51,Merge!$A$1:$AD$29,9,FALSE())</f>
        <v>Geoff Holden</v>
      </c>
      <c r="D56" s="85" t="str">
        <f aca="false">VLOOKUP(B51,Merge!$A$1:$AD$29,25,FALSE())</f>
        <v> </v>
      </c>
      <c r="E56" s="90" t="str">
        <f aca="false">VLOOKUP($B51,Merge!$A$1:$AD$29,27,FALSE())</f>
        <v> </v>
      </c>
      <c r="F56" s="89" t="str">
        <f aca="false">VLOOKUP(B51,Merge!$A$1:$AD$29,26,FALSE())</f>
        <v> </v>
      </c>
    </row>
    <row r="57" customFormat="false" ht="14.15" hidden="false" customHeight="true" outlineLevel="0" collapsed="false">
      <c r="B57" s="88"/>
      <c r="C57" s="89"/>
      <c r="D57" s="85" t="str">
        <f aca="false">VLOOKUP(B51,Merge!$A$1:$AD$29,28,FALSE())</f>
        <v> </v>
      </c>
      <c r="E57" s="90" t="str">
        <f aca="false">VLOOKUP($B51,Merge!$A$1:$AD$29,30,FALSE())</f>
        <v> </v>
      </c>
      <c r="F57" s="89" t="str">
        <f aca="false">VLOOKUP(B51,Merge!$A$1:$AD$29,29,FALSE())</f>
        <v> </v>
      </c>
    </row>
    <row r="58" customFormat="false" ht="14.15" hidden="false" customHeight="true" outlineLevel="0" collapsed="false">
      <c r="B58" s="79" t="n">
        <f aca="false">B51+1</f>
        <v>3335</v>
      </c>
      <c r="C58" s="80" t="n">
        <f aca="false">VLOOKUP(B58,Merge!$A$1:$AC$29,2,FALSE())</f>
        <v>40782</v>
      </c>
      <c r="D58" s="81" t="s">
        <v>229</v>
      </c>
      <c r="E58" s="82" t="s">
        <v>304</v>
      </c>
      <c r="F58" s="83" t="str">
        <f aca="false">VLOOKUP(B58,Merge!$A$1:$AD$29,11,FALSE())</f>
        <v>Runs</v>
      </c>
    </row>
    <row r="59" customFormat="false" ht="14.15" hidden="false" customHeight="true" outlineLevel="0" collapsed="false">
      <c r="B59" s="84" t="str">
        <f aca="false">VLOOKUP(B58,Merge!$A$1:$AC$29,3,FALSE())</f>
        <v>Normal Meeting</v>
      </c>
      <c r="C59" s="84"/>
      <c r="D59" s="85" t="str">
        <f aca="false">VLOOKUP(B58,Merge!$A$1:$AD$29,13,FALSE())</f>
        <v>Viv Samuel</v>
      </c>
      <c r="E59" s="86" t="n">
        <f aca="false">VLOOKUP($B58,Merge!$A$1:$AD$29,15,FALSE())</f>
        <v>5</v>
      </c>
      <c r="F59" s="87" t="str">
        <f aca="false">VLOOKUP(B58,Merge!$A$1:$AD$29,14,FALSE())</f>
        <v>Run Down</v>
      </c>
    </row>
    <row r="60" customFormat="false" ht="14.15" hidden="false" customHeight="true" outlineLevel="0" collapsed="false">
      <c r="B60" s="88" t="s">
        <v>306</v>
      </c>
      <c r="C60" s="89" t="str">
        <f aca="false">VLOOKUP(B58,Merge!$A$1:$AD$29,6,FALSE())</f>
        <v>Don Stuart</v>
      </c>
      <c r="D60" s="85" t="str">
        <f aca="false">VLOOKUP(B58,Merge!$A$1:$AD$29,16,FALSE())</f>
        <v>Martin Lambert</v>
      </c>
      <c r="E60" s="86" t="n">
        <f aca="false">VLOOKUP($B58,Merge!$A$1:$AD$29,18,FALSE())</f>
        <v>5</v>
      </c>
      <c r="F60" s="87" t="str">
        <f aca="false">VLOOKUP(B58,Merge!$A$1:$AD$29,17,FALSE())</f>
        <v>Running Mate</v>
      </c>
    </row>
    <row r="61" customFormat="false" ht="14.15" hidden="false" customHeight="true" outlineLevel="0" collapsed="false">
      <c r="B61" s="88" t="s">
        <v>318</v>
      </c>
      <c r="C61" s="89" t="str">
        <f aca="false">VLOOKUP(B58,Merge!$A$1:$AD$29,7,FALSE())</f>
        <v>Rolf Prager</v>
      </c>
      <c r="D61" s="85" t="str">
        <f aca="false">VLOOKUP(B58,Merge!$A$1:$AD$29,19,FALSE())</f>
        <v>Bill Stacy</v>
      </c>
      <c r="E61" s="86" t="n">
        <f aca="false">VLOOKUP($B58,Merge!$A$1:$AD$29,21,FALSE())</f>
        <v>5</v>
      </c>
      <c r="F61" s="87" t="str">
        <f aca="false">VLOOKUP(B58,Merge!$A$1:$AD$29,20,FALSE())</f>
        <v>Running Repairs</v>
      </c>
    </row>
    <row r="62" customFormat="false" ht="14.15" hidden="false" customHeight="true" outlineLevel="0" collapsed="false">
      <c r="B62" s="88" t="s">
        <v>308</v>
      </c>
      <c r="C62" s="89" t="str">
        <f aca="false">VLOOKUP(B58,Merge!$A$1:$AD$29,8,FALSE())</f>
        <v>David Knight</v>
      </c>
      <c r="D62" s="85" t="str">
        <f aca="false">VLOOKUP(B58,Merge!$A$1:$AD$29,22,FALSE())</f>
        <v>Terry Anderson</v>
      </c>
      <c r="E62" s="90" t="n">
        <f aca="false">VLOOKUP($B58,Merge!$A$1:$AD$29,24,FALSE())</f>
        <v>5</v>
      </c>
      <c r="F62" s="89" t="str">
        <f aca="false">VLOOKUP(B58,Merge!$A$1:$AD$29,23,FALSE())</f>
        <v>Running Water</v>
      </c>
    </row>
    <row r="63" customFormat="false" ht="14.15" hidden="false" customHeight="true" outlineLevel="0" collapsed="false">
      <c r="B63" s="88" t="s">
        <v>309</v>
      </c>
      <c r="C63" s="89" t="str">
        <f aca="false">VLOOKUP(B58,Merge!$A$1:$AD$29,9,FALSE())</f>
        <v>Ed McAlister</v>
      </c>
      <c r="D63" s="85" t="str">
        <f aca="false">VLOOKUP(B58,Merge!$A$1:$AD$29,25,FALSE())</f>
        <v> </v>
      </c>
      <c r="E63" s="90" t="str">
        <f aca="false">VLOOKUP($B58,Merge!$A$1:$AD$29,27,FALSE())</f>
        <v> </v>
      </c>
      <c r="F63" s="89" t="str">
        <f aca="false">VLOOKUP(B58,Merge!$A$1:$AD$29,26,FALSE())</f>
        <v> </v>
      </c>
    </row>
    <row r="64" customFormat="false" ht="14.15" hidden="false" customHeight="true" outlineLevel="0" collapsed="false">
      <c r="B64" s="88"/>
      <c r="C64" s="89"/>
      <c r="D64" s="85" t="str">
        <f aca="false">VLOOKUP(B58,Merge!$A$1:$AD$29,28,FALSE())</f>
        <v> </v>
      </c>
      <c r="E64" s="90" t="str">
        <f aca="false">VLOOKUP($B58,Merge!$A$1:$AD$29,30,FALSE())</f>
        <v> </v>
      </c>
      <c r="F64" s="89" t="str">
        <f aca="false">VLOOKUP(B58,Merge!$A$1:$AD$29,29,FALSE())</f>
        <v> </v>
      </c>
    </row>
    <row r="65" customFormat="false" ht="14.15" hidden="false" customHeight="true" outlineLevel="0" collapsed="false">
      <c r="B65" s="79" t="n">
        <f aca="false">B58+1</f>
        <v>3336</v>
      </c>
      <c r="C65" s="80" t="n">
        <f aca="false">VLOOKUP(B65,Merge!$A$1:$AC$29,2,FALSE())</f>
        <v>40789</v>
      </c>
      <c r="D65" s="81" t="s">
        <v>229</v>
      </c>
      <c r="E65" s="82" t="s">
        <v>304</v>
      </c>
      <c r="F65" s="83" t="str">
        <f aca="false">VLOOKUP(B65,Merge!$A$1:$AD$29,11,FALSE())</f>
        <v>Boundaries</v>
      </c>
    </row>
    <row r="66" customFormat="false" ht="14.15" hidden="false" customHeight="true" outlineLevel="0" collapsed="false">
      <c r="B66" s="84" t="str">
        <f aca="false">VLOOKUP(B65,Merge!$A$1:$AC$29,3,FALSE())</f>
        <v>Normal Meeting</v>
      </c>
      <c r="C66" s="84"/>
      <c r="D66" s="85" t="str">
        <f aca="false">VLOOKUP(B65,Merge!$A$1:$AD$29,13,FALSE())</f>
        <v>Richard Smith</v>
      </c>
      <c r="E66" s="86" t="n">
        <f aca="false">VLOOKUP($B65,Merge!$A$1:$AD$29,15,FALSE())</f>
        <v>7</v>
      </c>
      <c r="F66" s="87" t="str">
        <f aca="false">VLOOKUP(B65,Merge!$A$1:$AD$29,14,FALSE())</f>
        <v>Boundary Rider</v>
      </c>
    </row>
    <row r="67" customFormat="false" ht="14.15" hidden="false" customHeight="true" outlineLevel="0" collapsed="false">
      <c r="B67" s="88" t="s">
        <v>306</v>
      </c>
      <c r="C67" s="89" t="str">
        <f aca="false">VLOOKUP(B65,Merge!$A$1:$AD$29,6,FALSE())</f>
        <v>Don Stuart</v>
      </c>
      <c r="D67" s="85" t="str">
        <f aca="false">VLOOKUP(B65,Merge!$A$1:$AD$29,16,FALSE())</f>
        <v>Kym Beverley</v>
      </c>
      <c r="E67" s="86" t="n">
        <f aca="false">VLOOKUP($B65,Merge!$A$1:$AD$29,18,FALSE())</f>
        <v>7</v>
      </c>
      <c r="F67" s="87" t="str">
        <f aca="false">VLOOKUP(B65,Merge!$A$1:$AD$29,17,FALSE())</f>
        <v>Boundary Layer</v>
      </c>
    </row>
    <row r="68" customFormat="false" ht="14.15" hidden="false" customHeight="true" outlineLevel="0" collapsed="false">
      <c r="B68" s="88" t="s">
        <v>318</v>
      </c>
      <c r="C68" s="89" t="str">
        <f aca="false">VLOOKUP(B65,Merge!$A$1:$AD$29,7,FALSE())</f>
        <v>David Phillips</v>
      </c>
      <c r="D68" s="85" t="str">
        <f aca="false">VLOOKUP(B65,Merge!$A$1:$AD$29,19,FALSE())</f>
        <v>Peter Martindale</v>
      </c>
      <c r="E68" s="86" t="n">
        <f aca="false">VLOOKUP($B65,Merge!$A$1:$AD$29,21,FALSE())</f>
        <v>7</v>
      </c>
      <c r="F68" s="87" t="str">
        <f aca="false">VLOOKUP(B65,Merge!$A$1:$AD$29,20,FALSE())</f>
        <v>Permian-Triassic Boundary</v>
      </c>
    </row>
    <row r="69" customFormat="false" ht="14.15" hidden="false" customHeight="true" outlineLevel="0" collapsed="false">
      <c r="B69" s="88" t="s">
        <v>308</v>
      </c>
      <c r="C69" s="89" t="str">
        <f aca="false">VLOOKUP(B65,Merge!$A$1:$AD$29,8,FALSE())</f>
        <v>Martin Lambert</v>
      </c>
      <c r="D69" s="85" t="str">
        <f aca="false">VLOOKUP(B65,Merge!$A$1:$AD$29,22,FALSE())</f>
        <v> </v>
      </c>
      <c r="E69" s="90" t="str">
        <f aca="false">VLOOKUP($B65,Merge!$A$1:$AD$29,24,FALSE())</f>
        <v> </v>
      </c>
      <c r="F69" s="89" t="str">
        <f aca="false">VLOOKUP(B65,Merge!$A$1:$AD$29,23,FALSE())</f>
        <v> </v>
      </c>
    </row>
    <row r="70" customFormat="false" ht="14.15" hidden="false" customHeight="true" outlineLevel="0" collapsed="false">
      <c r="B70" s="88" t="s">
        <v>309</v>
      </c>
      <c r="C70" s="89" t="str">
        <f aca="false">VLOOKUP(B65,Merge!$A$1:$AD$29,9,FALSE())</f>
        <v>Barry Grear</v>
      </c>
      <c r="D70" s="85" t="str">
        <f aca="false">VLOOKUP(B65,Merge!$A$1:$AD$29,25,FALSE())</f>
        <v> </v>
      </c>
      <c r="E70" s="90" t="str">
        <f aca="false">VLOOKUP($B65,Merge!$A$1:$AD$29,27,FALSE())</f>
        <v> </v>
      </c>
      <c r="F70" s="89" t="str">
        <f aca="false">VLOOKUP(B65,Merge!$A$1:$AD$29,26,FALSE())</f>
        <v> </v>
      </c>
    </row>
    <row r="71" customFormat="false" ht="14.15" hidden="false" customHeight="true" outlineLevel="0" collapsed="false">
      <c r="B71" s="88"/>
      <c r="C71" s="89"/>
      <c r="D71" s="85" t="str">
        <f aca="false">VLOOKUP(B65,Merge!$A$1:$AD$29,28,FALSE())</f>
        <v> </v>
      </c>
      <c r="E71" s="90" t="str">
        <f aca="false">VLOOKUP($B65,Merge!$A$1:$AD$29,30,FALSE())</f>
        <v> </v>
      </c>
      <c r="F71" s="89" t="str">
        <f aca="false">VLOOKUP(B65,Merge!$A$1:$AD$29,29,FALSE())</f>
        <v> </v>
      </c>
    </row>
    <row r="72" customFormat="false" ht="14.15" hidden="false" customHeight="true" outlineLevel="0" collapsed="false">
      <c r="B72" s="79" t="n">
        <f aca="false">B65+1</f>
        <v>3337</v>
      </c>
      <c r="C72" s="80" t="n">
        <f aca="false">VLOOKUP(B72,Merge!$A$1:$AC$29,2,FALSE())</f>
        <v>40796</v>
      </c>
      <c r="D72" s="81" t="s">
        <v>229</v>
      </c>
      <c r="E72" s="82" t="s">
        <v>304</v>
      </c>
      <c r="F72" s="83" t="str">
        <f aca="false">VLOOKUP(B72,Merge!$A$1:$AD$29,11,FALSE())</f>
        <v>Point</v>
      </c>
    </row>
    <row r="73" customFormat="false" ht="14.15" hidden="false" customHeight="true" outlineLevel="0" collapsed="false">
      <c r="B73" s="84" t="str">
        <f aca="false">VLOOKUP(B72,Merge!$A$1:$AC$29,3,FALSE())</f>
        <v>Normal Meeting</v>
      </c>
      <c r="C73" s="84"/>
      <c r="D73" s="85" t="str">
        <f aca="false">VLOOKUP(B72,Merge!$A$1:$AD$29,13,FALSE())</f>
        <v>Doug Aylen</v>
      </c>
      <c r="E73" s="86" t="n">
        <f aca="false">VLOOKUP($B72,Merge!$A$1:$AD$29,15,FALSE())</f>
        <v>8</v>
      </c>
      <c r="F73" s="87" t="str">
        <f aca="false">VLOOKUP(B72,Merge!$A$1:$AD$29,14,FALSE())</f>
        <v>Point of no Return</v>
      </c>
    </row>
    <row r="74" customFormat="false" ht="14.15" hidden="false" customHeight="true" outlineLevel="0" collapsed="false">
      <c r="B74" s="88" t="s">
        <v>306</v>
      </c>
      <c r="C74" s="89" t="str">
        <f aca="false">VLOOKUP(B72,Merge!$A$1:$AD$29,6,FALSE())</f>
        <v>Don Stuart</v>
      </c>
      <c r="D74" s="85" t="str">
        <f aca="false">VLOOKUP(B72,Merge!$A$1:$AD$29,16,FALSE())</f>
        <v>Arthur Daw</v>
      </c>
      <c r="E74" s="86" t="n">
        <f aca="false">VLOOKUP($B72,Merge!$A$1:$AD$29,18,FALSE())</f>
        <v>7</v>
      </c>
      <c r="F74" s="87" t="str">
        <f aca="false">VLOOKUP(B72,Merge!$A$1:$AD$29,17,FALSE())</f>
        <v>Point of Order</v>
      </c>
    </row>
    <row r="75" customFormat="false" ht="14.15" hidden="false" customHeight="true" outlineLevel="0" collapsed="false">
      <c r="B75" s="88" t="s">
        <v>318</v>
      </c>
      <c r="C75" s="89" t="str">
        <f aca="false">VLOOKUP(B72,Merge!$A$1:$AD$29,7,FALSE())</f>
        <v>Viv Samuel</v>
      </c>
      <c r="D75" s="85" t="str">
        <f aca="false">VLOOKUP(B72,Merge!$A$1:$AD$29,19,FALSE())</f>
        <v>Young-Il Kim</v>
      </c>
      <c r="E75" s="86" t="n">
        <f aca="false">VLOOKUP($B72,Merge!$A$1:$AD$29,21,FALSE())</f>
        <v>6</v>
      </c>
      <c r="F75" s="87" t="str">
        <f aca="false">VLOOKUP(B72,Merge!$A$1:$AD$29,20,FALSE())</f>
        <v>Not to put too fine a point on it</v>
      </c>
    </row>
    <row r="76" customFormat="false" ht="14.15" hidden="false" customHeight="true" outlineLevel="0" collapsed="false">
      <c r="B76" s="88" t="s">
        <v>308</v>
      </c>
      <c r="C76" s="89" t="str">
        <f aca="false">VLOOKUP(B72,Merge!$A$1:$AD$29,8,FALSE())</f>
        <v>Peter Martindale</v>
      </c>
      <c r="D76" s="85" t="str">
        <f aca="false">VLOOKUP(B72,Merge!$A$1:$AD$29,22,FALSE())</f>
        <v> </v>
      </c>
      <c r="E76" s="90" t="str">
        <f aca="false">VLOOKUP($B72,Merge!$A$1:$AD$29,24,FALSE())</f>
        <v> </v>
      </c>
      <c r="F76" s="89" t="str">
        <f aca="false">VLOOKUP(B72,Merge!$A$1:$AD$29,23,FALSE())</f>
        <v> </v>
      </c>
    </row>
    <row r="77" customFormat="false" ht="14.15" hidden="false" customHeight="true" outlineLevel="0" collapsed="false">
      <c r="B77" s="88" t="s">
        <v>309</v>
      </c>
      <c r="C77" s="89" t="str">
        <f aca="false">VLOOKUP(B72,Merge!$A$1:$AD$29,9,FALSE())</f>
        <v>Chao-Shui Xu</v>
      </c>
      <c r="D77" s="85" t="str">
        <f aca="false">VLOOKUP(B72,Merge!$A$1:$AD$29,25,FALSE())</f>
        <v> </v>
      </c>
      <c r="E77" s="90" t="str">
        <f aca="false">VLOOKUP($B72,Merge!$A$1:$AD$29,27,FALSE())</f>
        <v> </v>
      </c>
      <c r="F77" s="89" t="str">
        <f aca="false">VLOOKUP(B72,Merge!$A$1:$AD$29,26,FALSE())</f>
        <v> </v>
      </c>
    </row>
    <row r="78" customFormat="false" ht="14.15" hidden="false" customHeight="true" outlineLevel="0" collapsed="false">
      <c r="B78" s="88"/>
      <c r="C78" s="89"/>
      <c r="D78" s="85" t="str">
        <f aca="false">VLOOKUP(B72,Merge!$A$1:$AD$29,28,FALSE())</f>
        <v> </v>
      </c>
      <c r="E78" s="90" t="str">
        <f aca="false">VLOOKUP($B72,Merge!$A$1:$AD$29,30,FALSE())</f>
        <v> </v>
      </c>
      <c r="F78" s="89" t="str">
        <f aca="false">VLOOKUP(B72,Merge!$A$1:$AD$29,29,FALSE())</f>
        <v> </v>
      </c>
    </row>
    <row r="79" customFormat="false" ht="14.15" hidden="false" customHeight="true" outlineLevel="0" collapsed="false">
      <c r="B79" s="79" t="n">
        <f aca="false">B72+1</f>
        <v>3338</v>
      </c>
      <c r="C79" s="80" t="n">
        <f aca="false">VLOOKUP(B79,Merge!$A$1:$AC$29,2,FALSE())</f>
        <v>40803</v>
      </c>
      <c r="D79" s="81" t="s">
        <v>229</v>
      </c>
      <c r="E79" s="82" t="s">
        <v>304</v>
      </c>
      <c r="F79" s="83" t="str">
        <f aca="false">VLOOKUP(B79,Merge!$A$1:$AD$29,11,FALSE())</f>
        <v>Slips</v>
      </c>
    </row>
    <row r="80" customFormat="false" ht="14.15" hidden="false" customHeight="true" outlineLevel="0" collapsed="false">
      <c r="B80" s="84" t="str">
        <f aca="false">VLOOKUP(B79,Merge!$A$1:$AC$29,3,FALSE())</f>
        <v>Normal Meeting</v>
      </c>
      <c r="C80" s="84"/>
      <c r="D80" s="85" t="str">
        <f aca="false">VLOOKUP(B79,Merge!$A$1:$AD$29,13,FALSE())</f>
        <v>Russell Cutting</v>
      </c>
      <c r="E80" s="86" t="n">
        <f aca="false">VLOOKUP($B79,Merge!$A$1:$AD$29,15,FALSE())</f>
        <v>5</v>
      </c>
      <c r="F80" s="87" t="str">
        <f aca="false">VLOOKUP(B79,Merge!$A$1:$AD$29,14,FALSE())</f>
        <v>Slipstream</v>
      </c>
    </row>
    <row r="81" customFormat="false" ht="14.15" hidden="false" customHeight="true" outlineLevel="0" collapsed="false">
      <c r="B81" s="88" t="s">
        <v>306</v>
      </c>
      <c r="C81" s="89" t="str">
        <f aca="false">VLOOKUP(B79,Merge!$A$1:$AD$29,6,FALSE())</f>
        <v>Don Stuart</v>
      </c>
      <c r="D81" s="85" t="str">
        <f aca="false">VLOOKUP(B79,Merge!$A$1:$AD$29,16,FALSE())</f>
        <v>David Phillips</v>
      </c>
      <c r="E81" s="86" t="n">
        <f aca="false">VLOOKUP($B79,Merge!$A$1:$AD$29,18,FALSE())</f>
        <v>5</v>
      </c>
      <c r="F81" s="87" t="str">
        <f aca="false">VLOOKUP(B79,Merge!$A$1:$AD$29,17,FALSE())</f>
        <v>Slipshod</v>
      </c>
    </row>
    <row r="82" customFormat="false" ht="14.15" hidden="false" customHeight="true" outlineLevel="0" collapsed="false">
      <c r="B82" s="88" t="s">
        <v>318</v>
      </c>
      <c r="C82" s="89" t="str">
        <f aca="false">VLOOKUP(B79,Merge!$A$1:$AD$29,7,FALSE())</f>
        <v>Richard Smith</v>
      </c>
      <c r="D82" s="85" t="str">
        <f aca="false">VLOOKUP(B79,Merge!$A$1:$AD$29,19,FALSE())</f>
        <v>Jim Stewart</v>
      </c>
      <c r="E82" s="86" t="n">
        <f aca="false">VLOOKUP($B79,Merge!$A$1:$AD$29,21,FALSE())</f>
        <v>5</v>
      </c>
      <c r="F82" s="87" t="str">
        <f aca="false">VLOOKUP(B79,Merge!$A$1:$AD$29,20,FALSE())</f>
        <v>Give the Slip</v>
      </c>
    </row>
    <row r="83" customFormat="false" ht="14.15" hidden="false" customHeight="true" outlineLevel="0" collapsed="false">
      <c r="B83" s="88" t="s">
        <v>308</v>
      </c>
      <c r="C83" s="89" t="str">
        <f aca="false">VLOOKUP(B79,Merge!$A$1:$AD$29,8,FALSE())</f>
        <v>Ed McAlister</v>
      </c>
      <c r="D83" s="85" t="str">
        <f aca="false">VLOOKUP(B79,Merge!$A$1:$AD$29,22,FALSE())</f>
        <v>Barry Dwyer</v>
      </c>
      <c r="E83" s="90" t="n">
        <f aca="false">VLOOKUP($B79,Merge!$A$1:$AD$29,24,FALSE())</f>
        <v>5</v>
      </c>
      <c r="F83" s="89" t="str">
        <f aca="false">VLOOKUP(B79,Merge!$A$1:$AD$29,23,FALSE())</f>
        <v>Slip of the Tongue</v>
      </c>
    </row>
    <row r="84" customFormat="false" ht="14.15" hidden="false" customHeight="true" outlineLevel="0" collapsed="false">
      <c r="B84" s="88" t="s">
        <v>309</v>
      </c>
      <c r="C84" s="89" t="str">
        <f aca="false">VLOOKUP(B79,Merge!$A$1:$AD$29,9,FALSE())</f>
        <v>David Knight</v>
      </c>
      <c r="D84" s="85" t="str">
        <f aca="false">VLOOKUP(B79,Merge!$A$1:$AD$29,25,FALSE())</f>
        <v> </v>
      </c>
      <c r="E84" s="90" t="str">
        <f aca="false">VLOOKUP($B79,Merge!$A$1:$AD$29,27,FALSE())</f>
        <v> </v>
      </c>
      <c r="F84" s="89" t="str">
        <f aca="false">VLOOKUP(B79,Merge!$A$1:$AD$29,26,FALSE())</f>
        <v> </v>
      </c>
    </row>
    <row r="85" customFormat="false" ht="14.15" hidden="false" customHeight="true" outlineLevel="0" collapsed="false">
      <c r="B85" s="88"/>
      <c r="C85" s="89"/>
      <c r="D85" s="85" t="str">
        <f aca="false">VLOOKUP(B79,Merge!$A$1:$AD$29,28,FALSE())</f>
        <v> </v>
      </c>
      <c r="E85" s="90" t="str">
        <f aca="false">VLOOKUP($B79,Merge!$A$1:$AD$29,30,FALSE())</f>
        <v> </v>
      </c>
      <c r="F85" s="89" t="str">
        <f aca="false">VLOOKUP(B79,Merge!$A$1:$AD$29,29,FALSE())</f>
        <v> </v>
      </c>
    </row>
    <row r="86" customFormat="false" ht="14.15" hidden="false" customHeight="true" outlineLevel="0" collapsed="false">
      <c r="B86" s="79" t="n">
        <f aca="false">B79+1</f>
        <v>3339</v>
      </c>
      <c r="C86" s="80" t="n">
        <f aca="false">VLOOKUP(B86,Merge!$A$1:$AC$29,2,FALSE())</f>
        <v>40810</v>
      </c>
      <c r="D86" s="81" t="s">
        <v>229</v>
      </c>
      <c r="E86" s="82" t="s">
        <v>304</v>
      </c>
      <c r="F86" s="83" t="str">
        <f aca="false">VLOOKUP(B86,Merge!$A$1:$AD$29,11,FALSE())</f>
        <v>Deep</v>
      </c>
    </row>
    <row r="87" customFormat="false" ht="14.15" hidden="false" customHeight="true" outlineLevel="0" collapsed="false">
      <c r="B87" s="84" t="str">
        <f aca="false">VLOOKUP(B86,Merge!$A$1:$AC$29,3,FALSE())</f>
        <v>Normal Meeting</v>
      </c>
      <c r="C87" s="84"/>
      <c r="D87" s="85" t="str">
        <f aca="false">VLOOKUP(B86,Merge!$A$1:$AD$29,13,FALSE())</f>
        <v>Chao-Shui Xu</v>
      </c>
      <c r="E87" s="86" t="n">
        <f aca="false">VLOOKUP($B86,Merge!$A$1:$AD$29,15,FALSE())</f>
        <v>5</v>
      </c>
      <c r="F87" s="87" t="str">
        <f aca="false">VLOOKUP(B86,Merge!$A$1:$AD$29,14,FALSE())</f>
        <v>Deep-Sea</v>
      </c>
    </row>
    <row r="88" customFormat="false" ht="14.15" hidden="false" customHeight="true" outlineLevel="0" collapsed="false">
      <c r="B88" s="88" t="s">
        <v>306</v>
      </c>
      <c r="C88" s="89" t="str">
        <f aca="false">VLOOKUP(B86,Merge!$A$1:$AD$29,6,FALSE())</f>
        <v>Don Stuart</v>
      </c>
      <c r="D88" s="85" t="str">
        <f aca="false">VLOOKUP(B86,Merge!$A$1:$AD$29,16,FALSE())</f>
        <v>Rolf Prager</v>
      </c>
      <c r="E88" s="86" t="n">
        <f aca="false">VLOOKUP($B86,Merge!$A$1:$AD$29,18,FALSE())</f>
        <v>5</v>
      </c>
      <c r="F88" s="87" t="str">
        <f aca="false">VLOOKUP(B86,Merge!$A$1:$AD$29,17,FALSE())</f>
        <v>Deep Space</v>
      </c>
    </row>
    <row r="89" customFormat="false" ht="14.15" hidden="false" customHeight="true" outlineLevel="0" collapsed="false">
      <c r="B89" s="88" t="s">
        <v>318</v>
      </c>
      <c r="C89" s="89" t="str">
        <f aca="false">VLOOKUP(B86,Merge!$A$1:$AD$29,7,FALSE())</f>
        <v>Bill Stacy</v>
      </c>
      <c r="D89" s="85" t="str">
        <f aca="false">VLOOKUP(B86,Merge!$A$1:$AD$29,19,FALSE())</f>
        <v>David Knight</v>
      </c>
      <c r="E89" s="86" t="n">
        <f aca="false">VLOOKUP($B86,Merge!$A$1:$AD$29,21,FALSE())</f>
        <v>5</v>
      </c>
      <c r="F89" s="87" t="str">
        <f aca="false">VLOOKUP(B86,Merge!$A$1:$AD$29,20,FALSE())</f>
        <v>Deep-Fried</v>
      </c>
    </row>
    <row r="90" customFormat="false" ht="14.15" hidden="false" customHeight="true" outlineLevel="0" collapsed="false">
      <c r="B90" s="88" t="s">
        <v>308</v>
      </c>
      <c r="C90" s="89" t="str">
        <f aca="false">VLOOKUP(B86,Merge!$A$1:$AD$29,8,FALSE())</f>
        <v>David Phillips</v>
      </c>
      <c r="D90" s="85" t="str">
        <f aca="false">VLOOKUP(B86,Merge!$A$1:$AD$29,22,FALSE())</f>
        <v>Barry Grear</v>
      </c>
      <c r="E90" s="90" t="n">
        <f aca="false">VLOOKUP($B86,Merge!$A$1:$AD$29,24,FALSE())</f>
        <v>5</v>
      </c>
      <c r="F90" s="89" t="str">
        <f aca="false">VLOOKUP(B86,Merge!$A$1:$AD$29,23,FALSE())</f>
        <v>Deep Vein Thrombosis</v>
      </c>
    </row>
    <row r="91" customFormat="false" ht="14.15" hidden="false" customHeight="true" outlineLevel="0" collapsed="false">
      <c r="B91" s="88" t="s">
        <v>309</v>
      </c>
      <c r="C91" s="89" t="str">
        <f aca="false">VLOOKUP(B86,Merge!$A$1:$AD$29,9,FALSE())</f>
        <v>Martin Lambert</v>
      </c>
      <c r="D91" s="85" t="str">
        <f aca="false">VLOOKUP(B86,Merge!$A$1:$AD$29,25,FALSE())</f>
        <v> </v>
      </c>
      <c r="E91" s="90" t="str">
        <f aca="false">VLOOKUP($B86,Merge!$A$1:$AD$29,27,FALSE())</f>
        <v> </v>
      </c>
      <c r="F91" s="89" t="str">
        <f aca="false">VLOOKUP(B86,Merge!$A$1:$AD$29,26,FALSE())</f>
        <v> </v>
      </c>
    </row>
    <row r="92" customFormat="false" ht="14.15" hidden="false" customHeight="true" outlineLevel="0" collapsed="false">
      <c r="B92" s="88"/>
      <c r="C92" s="89"/>
      <c r="D92" s="85" t="str">
        <f aca="false">VLOOKUP(B86,Merge!$A$1:$AD$29,28,FALSE())</f>
        <v> </v>
      </c>
      <c r="E92" s="90" t="str">
        <f aca="false">VLOOKUP($B86,Merge!$A$1:$AD$29,30,FALSE())</f>
        <v> </v>
      </c>
      <c r="F92" s="89" t="str">
        <f aca="false">VLOOKUP(B86,Merge!$A$1:$AD$29,29,FALSE())</f>
        <v> </v>
      </c>
    </row>
    <row r="93" customFormat="false" ht="14.15" hidden="false" customHeight="true" outlineLevel="0" collapsed="false">
      <c r="B93" s="79" t="n">
        <f aca="false">B86+1</f>
        <v>3340</v>
      </c>
      <c r="C93" s="80" t="n">
        <f aca="false">VLOOKUP(B93,Merge!$A$1:$AC$29,2,FALSE())</f>
        <v>40817</v>
      </c>
      <c r="D93" s="81" t="s">
        <v>229</v>
      </c>
      <c r="E93" s="82" t="s">
        <v>304</v>
      </c>
      <c r="F93" s="83" t="str">
        <f aca="false">VLOOKUP(B93,Merge!$A$1:$AD$29,11,FALSE())</f>
        <v>Wilde Statements</v>
      </c>
    </row>
    <row r="94" customFormat="false" ht="14.15" hidden="false" customHeight="true" outlineLevel="0" collapsed="false">
      <c r="B94" s="84" t="str">
        <f aca="false">VLOOKUP(B93,Merge!$A$1:$AC$29,3,FALSE())</f>
        <v>Family Day</v>
      </c>
      <c r="C94" s="84"/>
      <c r="D94" s="85" t="str">
        <f aca="false">VLOOKUP(B93,Merge!$A$1:$AD$29,13,FALSE())</f>
        <v>Terry Anderson</v>
      </c>
      <c r="E94" s="86" t="n">
        <f aca="false">VLOOKUP($B93,Merge!$A$1:$AD$29,15,FALSE())</f>
        <v>5</v>
      </c>
      <c r="F94" s="87" t="str">
        <f aca="false">VLOOKUP(B93,Merge!$A$1:$AD$29,14,FALSE())</f>
        <v>He hadn't a single redeeming vice.</v>
      </c>
    </row>
    <row r="95" customFormat="false" ht="14.15" hidden="false" customHeight="true" outlineLevel="0" collapsed="false">
      <c r="B95" s="88" t="s">
        <v>306</v>
      </c>
      <c r="C95" s="89" t="str">
        <f aca="false">VLOOKUP(B93,Merge!$A$1:$AD$29,6,FALSE())</f>
        <v>Don Stuart</v>
      </c>
      <c r="D95" s="85" t="str">
        <f aca="false">VLOOKUP(B93,Merge!$A$1:$AD$29,16,FALSE())</f>
        <v>Martin Lambert</v>
      </c>
      <c r="E95" s="86" t="n">
        <f aca="false">VLOOKUP($B93,Merge!$A$1:$AD$29,18,FALSE())</f>
        <v>5</v>
      </c>
      <c r="F95" s="87" t="str">
        <f aca="false">VLOOKUP(B93,Merge!$A$1:$AD$29,17,FALSE())</f>
        <v>Acting is much more real than real life.</v>
      </c>
    </row>
    <row r="96" customFormat="false" ht="14.15" hidden="false" customHeight="true" outlineLevel="0" collapsed="false">
      <c r="B96" s="88" t="s">
        <v>318</v>
      </c>
      <c r="C96" s="89" t="str">
        <f aca="false">VLOOKUP(B93,Merge!$A$1:$AD$29,7,FALSE())</f>
        <v>Barry Grear</v>
      </c>
      <c r="D96" s="85" t="str">
        <f aca="false">VLOOKUP(B93,Merge!$A$1:$AD$29,19,FALSE())</f>
        <v>Ed McAlister</v>
      </c>
      <c r="E96" s="86" t="n">
        <f aca="false">VLOOKUP($B93,Merge!$A$1:$AD$29,21,FALSE())</f>
        <v>5</v>
      </c>
      <c r="F96" s="87" t="str">
        <f aca="false">VLOOKUP(B93,Merge!$A$1:$AD$29,20,FALSE())</f>
        <v>A true friend stabs you in the front.</v>
      </c>
    </row>
    <row r="97" customFormat="false" ht="14.15" hidden="false" customHeight="true" outlineLevel="0" collapsed="false">
      <c r="B97" s="88" t="s">
        <v>308</v>
      </c>
      <c r="C97" s="89" t="str">
        <f aca="false">VLOOKUP(B93,Merge!$A$1:$AD$29,8,FALSE())</f>
        <v>Rolf Prager</v>
      </c>
      <c r="D97" s="85" t="str">
        <f aca="false">VLOOKUP(B93,Merge!$A$1:$AD$29,22,FALSE())</f>
        <v>Doug Aylen</v>
      </c>
      <c r="E97" s="90" t="n">
        <f aca="false">VLOOKUP($B93,Merge!$A$1:$AD$29,24,FALSE())</f>
        <v>5</v>
      </c>
      <c r="F97" s="89" t="str">
        <f aca="false">VLOOKUP(B93,Merge!$A$1:$AD$29,23,FALSE())</f>
        <v>I can resist everything except temptation.</v>
      </c>
    </row>
    <row r="98" customFormat="false" ht="14.15" hidden="false" customHeight="true" outlineLevel="0" collapsed="false">
      <c r="B98" s="88" t="s">
        <v>309</v>
      </c>
      <c r="C98" s="89" t="str">
        <f aca="false">VLOOKUP(B93,Merge!$A$1:$AD$29,9,FALSE())</f>
        <v>Jim Stewart</v>
      </c>
      <c r="D98" s="85" t="str">
        <f aca="false">VLOOKUP(B93,Merge!$A$1:$AD$29,25,FALSE())</f>
        <v> </v>
      </c>
      <c r="E98" s="90" t="str">
        <f aca="false">VLOOKUP($B93,Merge!$A$1:$AD$29,27,FALSE())</f>
        <v> </v>
      </c>
      <c r="F98" s="89" t="str">
        <f aca="false">VLOOKUP(B93,Merge!$A$1:$AD$29,26,FALSE())</f>
        <v> </v>
      </c>
    </row>
    <row r="99" customFormat="false" ht="14.15" hidden="false" customHeight="true" outlineLevel="0" collapsed="false">
      <c r="B99" s="88"/>
      <c r="C99" s="89"/>
      <c r="D99" s="85" t="str">
        <f aca="false">VLOOKUP(B93,Merge!$A$1:$AD$29,28,FALSE())</f>
        <v> </v>
      </c>
      <c r="E99" s="90" t="str">
        <f aca="false">VLOOKUP($B93,Merge!$A$1:$AD$29,30,FALSE())</f>
        <v> </v>
      </c>
      <c r="F99" s="89" t="str">
        <f aca="false">VLOOKUP(B93,Merge!$A$1:$AD$29,29,FALSE())</f>
        <v> </v>
      </c>
    </row>
    <row r="100" customFormat="false" ht="14.15" hidden="false" customHeight="true" outlineLevel="0" collapsed="false">
      <c r="B100" s="79" t="n">
        <f aca="false">B93+1</f>
        <v>3341</v>
      </c>
      <c r="C100" s="80" t="n">
        <f aca="false">VLOOKUP(B100,Merge!$A$1:$AC$29,2,FALSE())</f>
        <v>40824</v>
      </c>
      <c r="D100" s="81" t="s">
        <v>229</v>
      </c>
      <c r="E100" s="82" t="s">
        <v>304</v>
      </c>
      <c r="F100" s="83" t="str">
        <f aca="false">VLOOKUP(B100,Merge!$A$1:$AD$29,11,FALSE())</f>
        <v>Square</v>
      </c>
    </row>
    <row r="101" customFormat="false" ht="14.15" hidden="false" customHeight="true" outlineLevel="0" collapsed="false">
      <c r="B101" s="84" t="str">
        <f aca="false">VLOOKUP(B100,Merge!$A$1:$AC$29,3,FALSE())</f>
        <v>Normal Meeting</v>
      </c>
      <c r="C101" s="84"/>
      <c r="D101" s="85" t="str">
        <f aca="false">VLOOKUP(B100,Merge!$A$1:$AD$29,13,FALSE())</f>
        <v>David Phillips</v>
      </c>
      <c r="E101" s="86" t="n">
        <f aca="false">VLOOKUP($B100,Merge!$A$1:$AD$29,15,FALSE())</f>
        <v>5</v>
      </c>
      <c r="F101" s="87" t="str">
        <f aca="false">VLOOKUP(B100,Merge!$A$1:$AD$29,14,FALSE())</f>
        <v>Square Peg</v>
      </c>
    </row>
    <row r="102" customFormat="false" ht="14.15" hidden="false" customHeight="true" outlineLevel="0" collapsed="false">
      <c r="B102" s="88" t="s">
        <v>306</v>
      </c>
      <c r="C102" s="89" t="str">
        <f aca="false">VLOOKUP(B100,Merge!$A$1:$AD$29,6,FALSE())</f>
        <v>Don Stuart</v>
      </c>
      <c r="D102" s="85" t="str">
        <f aca="false">VLOOKUP(B100,Merge!$A$1:$AD$29,16,FALSE())</f>
        <v>Bill Stacy</v>
      </c>
      <c r="E102" s="86" t="n">
        <f aca="false">VLOOKUP($B100,Merge!$A$1:$AD$29,18,FALSE())</f>
        <v>5</v>
      </c>
      <c r="F102" s="87" t="str">
        <f aca="false">VLOOKUP(B100,Merge!$A$1:$AD$29,17,FALSE())</f>
        <v>Square Deal</v>
      </c>
    </row>
    <row r="103" customFormat="false" ht="14.15" hidden="false" customHeight="true" outlineLevel="0" collapsed="false">
      <c r="B103" s="88" t="s">
        <v>318</v>
      </c>
      <c r="C103" s="89" t="str">
        <f aca="false">VLOOKUP(B100,Merge!$A$1:$AD$29,7,FALSE())</f>
        <v>Russell Cutting</v>
      </c>
      <c r="D103" s="85" t="str">
        <f aca="false">VLOOKUP(B100,Merge!$A$1:$AD$29,19,FALSE())</f>
        <v>Norm Duncan</v>
      </c>
      <c r="E103" s="86" t="n">
        <f aca="false">VLOOKUP($B100,Merge!$A$1:$AD$29,21,FALSE())</f>
        <v>5</v>
      </c>
      <c r="F103" s="87" t="str">
        <f aca="false">VLOOKUP(B100,Merge!$A$1:$AD$29,20,FALSE())</f>
        <v>On the Square</v>
      </c>
    </row>
    <row r="104" customFormat="false" ht="14.15" hidden="false" customHeight="true" outlineLevel="0" collapsed="false">
      <c r="B104" s="88" t="s">
        <v>308</v>
      </c>
      <c r="C104" s="89" t="str">
        <f aca="false">VLOOKUP(B100,Merge!$A$1:$AD$29,8,FALSE())</f>
        <v>Viv Samuel</v>
      </c>
      <c r="D104" s="85" t="str">
        <f aca="false">VLOOKUP(B100,Merge!$A$1:$AD$29,22,FALSE())</f>
        <v>Peter Martindale</v>
      </c>
      <c r="E104" s="90" t="n">
        <f aca="false">VLOOKUP($B100,Merge!$A$1:$AD$29,24,FALSE())</f>
        <v>5</v>
      </c>
      <c r="F104" s="89" t="str">
        <f aca="false">VLOOKUP(B100,Merge!$A$1:$AD$29,23,FALSE())</f>
        <v>Squaring the Circle</v>
      </c>
    </row>
    <row r="105" customFormat="false" ht="14.15" hidden="false" customHeight="true" outlineLevel="0" collapsed="false">
      <c r="B105" s="88" t="s">
        <v>309</v>
      </c>
      <c r="C105" s="89" t="str">
        <f aca="false">VLOOKUP(B100,Merge!$A$1:$AD$29,9,FALSE())</f>
        <v>Doug Aylen</v>
      </c>
      <c r="D105" s="85" t="str">
        <f aca="false">VLOOKUP(B100,Merge!$A$1:$AD$29,25,FALSE())</f>
        <v> </v>
      </c>
      <c r="E105" s="90" t="str">
        <f aca="false">VLOOKUP($B100,Merge!$A$1:$AD$29,27,FALSE())</f>
        <v> </v>
      </c>
      <c r="F105" s="89" t="str">
        <f aca="false">VLOOKUP(B100,Merge!$A$1:$AD$29,26,FALSE())</f>
        <v> </v>
      </c>
    </row>
    <row r="106" customFormat="false" ht="14.15" hidden="false" customHeight="true" outlineLevel="0" collapsed="false">
      <c r="B106" s="88"/>
      <c r="C106" s="89"/>
      <c r="D106" s="85" t="str">
        <f aca="false">VLOOKUP(B100,Merge!$A$1:$AD$29,28,FALSE())</f>
        <v> </v>
      </c>
      <c r="E106" s="90" t="str">
        <f aca="false">VLOOKUP($B100,Merge!$A$1:$AD$29,30,FALSE())</f>
        <v> </v>
      </c>
      <c r="F106" s="89" t="str">
        <f aca="false">VLOOKUP(B100,Merge!$A$1:$AD$29,29,FALSE())</f>
        <v> </v>
      </c>
    </row>
    <row r="107" customFormat="false" ht="14.15" hidden="false" customHeight="true" outlineLevel="0" collapsed="false">
      <c r="B107" s="79" t="n">
        <f aca="false">B100+1</f>
        <v>3342</v>
      </c>
      <c r="C107" s="80" t="n">
        <f aca="false">VLOOKUP(B107,Merge!$A$1:$AC$29,2,FALSE())</f>
        <v>40831</v>
      </c>
      <c r="D107" s="81" t="s">
        <v>229</v>
      </c>
      <c r="E107" s="82" t="s">
        <v>304</v>
      </c>
      <c r="F107" s="83" t="str">
        <f aca="false">VLOOKUP(B107,Merge!$A$1:$AD$29,11,FALSE())</f>
        <v>Bail</v>
      </c>
    </row>
    <row r="108" customFormat="false" ht="14.15" hidden="false" customHeight="true" outlineLevel="0" collapsed="false">
      <c r="B108" s="84" t="str">
        <f aca="false">VLOOKUP(B107,Merge!$A$1:$AC$29,3,FALSE())</f>
        <v>Normal Meeting</v>
      </c>
      <c r="C108" s="84"/>
      <c r="D108" s="85" t="str">
        <f aca="false">VLOOKUP(B107,Merge!$A$1:$AD$29,13,FALSE())</f>
        <v>Doug Aylen</v>
      </c>
      <c r="E108" s="86" t="n">
        <f aca="false">VLOOKUP($B107,Merge!$A$1:$AD$29,15,FALSE())</f>
        <v>7</v>
      </c>
      <c r="F108" s="87" t="str">
        <f aca="false">VLOOKUP(B107,Merge!$A$1:$AD$29,14,FALSE())</f>
        <v>Bail Out</v>
      </c>
    </row>
    <row r="109" customFormat="false" ht="14.15" hidden="false" customHeight="true" outlineLevel="0" collapsed="false">
      <c r="B109" s="88" t="s">
        <v>306</v>
      </c>
      <c r="C109" s="89" t="str">
        <f aca="false">VLOOKUP(B107,Merge!$A$1:$AD$29,6,FALSE())</f>
        <v>Don Stuart</v>
      </c>
      <c r="D109" s="85" t="str">
        <f aca="false">VLOOKUP(B107,Merge!$A$1:$AD$29,16,FALSE())</f>
        <v>Young-Il Kim</v>
      </c>
      <c r="E109" s="86" t="n">
        <f aca="false">VLOOKUP($B107,Merge!$A$1:$AD$29,18,FALSE())</f>
        <v>7</v>
      </c>
      <c r="F109" s="87" t="str">
        <f aca="false">VLOOKUP(B107,Merge!$A$1:$AD$29,17,FALSE())</f>
        <v>Bail Up</v>
      </c>
    </row>
    <row r="110" customFormat="false" ht="14.15" hidden="false" customHeight="true" outlineLevel="0" collapsed="false">
      <c r="B110" s="88" t="s">
        <v>318</v>
      </c>
      <c r="C110" s="89" t="str">
        <f aca="false">VLOOKUP(B107,Merge!$A$1:$AD$29,7,FALSE())</f>
        <v>Norm Duncan</v>
      </c>
      <c r="D110" s="85" t="str">
        <f aca="false">VLOOKUP(B107,Merge!$A$1:$AD$29,19,FALSE())</f>
        <v>Russell Cutting</v>
      </c>
      <c r="E110" s="86" t="n">
        <f aca="false">VLOOKUP($B107,Merge!$A$1:$AD$29,21,FALSE())</f>
        <v>7</v>
      </c>
      <c r="F110" s="87" t="str">
        <f aca="false">VLOOKUP(B107,Merge!$A$1:$AD$29,20,FALSE())</f>
        <v>Give Leg Bail</v>
      </c>
    </row>
    <row r="111" customFormat="false" ht="14.15" hidden="false" customHeight="true" outlineLevel="0" collapsed="false">
      <c r="B111" s="88" t="s">
        <v>308</v>
      </c>
      <c r="C111" s="89" t="str">
        <f aca="false">VLOOKUP(B107,Merge!$A$1:$AD$29,8,FALSE())</f>
        <v>Bill Stacy</v>
      </c>
      <c r="D111" s="85" t="str">
        <f aca="false">VLOOKUP(B107,Merge!$A$1:$AD$29,22,FALSE())</f>
        <v> </v>
      </c>
      <c r="E111" s="90" t="str">
        <f aca="false">VLOOKUP($B107,Merge!$A$1:$AD$29,24,FALSE())</f>
        <v> </v>
      </c>
      <c r="F111" s="89" t="str">
        <f aca="false">VLOOKUP(B107,Merge!$A$1:$AD$29,23,FALSE())</f>
        <v> </v>
      </c>
    </row>
    <row r="112" customFormat="false" ht="14.15" hidden="false" customHeight="true" outlineLevel="0" collapsed="false">
      <c r="B112" s="88" t="s">
        <v>309</v>
      </c>
      <c r="C112" s="89" t="str">
        <f aca="false">VLOOKUP(B107,Merge!$A$1:$AD$29,9,FALSE())</f>
        <v>Kym Beverley</v>
      </c>
      <c r="D112" s="85" t="str">
        <f aca="false">VLOOKUP(B107,Merge!$A$1:$AD$29,25,FALSE())</f>
        <v> </v>
      </c>
      <c r="E112" s="90" t="str">
        <f aca="false">VLOOKUP($B107,Merge!$A$1:$AD$29,27,FALSE())</f>
        <v> </v>
      </c>
      <c r="F112" s="89" t="str">
        <f aca="false">VLOOKUP(B107,Merge!$A$1:$AD$29,26,FALSE())</f>
        <v> </v>
      </c>
    </row>
    <row r="113" customFormat="false" ht="14.15" hidden="false" customHeight="true" outlineLevel="0" collapsed="false">
      <c r="B113" s="88"/>
      <c r="C113" s="89"/>
      <c r="D113" s="85" t="str">
        <f aca="false">VLOOKUP(B107,Merge!$A$1:$AD$29,28,FALSE())</f>
        <v> </v>
      </c>
      <c r="E113" s="90" t="str">
        <f aca="false">VLOOKUP($B107,Merge!$A$1:$AD$29,30,FALSE())</f>
        <v> </v>
      </c>
      <c r="F113" s="89" t="str">
        <f aca="false">VLOOKUP(B107,Merge!$A$1:$AD$29,29,FALSE())</f>
        <v> </v>
      </c>
    </row>
    <row r="114" customFormat="false" ht="14.15" hidden="false" customHeight="true" outlineLevel="0" collapsed="false">
      <c r="B114" s="79" t="n">
        <f aca="false">B107+1</f>
        <v>3343</v>
      </c>
      <c r="C114" s="80" t="n">
        <f aca="false">VLOOKUP(B114,Merge!$A$1:$AC$29,2,FALSE())</f>
        <v>40838</v>
      </c>
      <c r="D114" s="81" t="s">
        <v>229</v>
      </c>
      <c r="E114" s="82" t="s">
        <v>304</v>
      </c>
      <c r="F114" s="83" t="str">
        <f aca="false">VLOOKUP(B114,Merge!$A$1:$AD$29,11,FALSE())</f>
        <v>Perplexing Partners 1</v>
      </c>
    </row>
    <row r="115" customFormat="false" ht="14.15" hidden="false" customHeight="true" outlineLevel="0" collapsed="false">
      <c r="B115" s="84" t="str">
        <f aca="false">VLOOKUP(B114,Merge!$A$1:$AC$29,3,FALSE())</f>
        <v>Normal Meeting</v>
      </c>
      <c r="C115" s="84"/>
      <c r="D115" s="85" t="str">
        <f aca="false">VLOOKUP(B114,Merge!$A$1:$AD$29,13,FALSE())</f>
        <v>Volunteer</v>
      </c>
      <c r="E115" s="86" t="n">
        <f aca="false">VLOOKUP($B114,Merge!$A$1:$AD$29,15,FALSE())</f>
        <v>3</v>
      </c>
      <c r="F115" s="87" t="str">
        <f aca="false">VLOOKUP(B114,Merge!$A$1:$AD$29,14,FALSE())</f>
        <v>Never look a Gift Horse in the Mouth</v>
      </c>
    </row>
    <row r="116" customFormat="false" ht="14.15" hidden="false" customHeight="true" outlineLevel="0" collapsed="false">
      <c r="B116" s="88" t="s">
        <v>306</v>
      </c>
      <c r="C116" s="89" t="str">
        <f aca="false">VLOOKUP(B114,Merge!$A$1:$AD$29,6,FALSE())</f>
        <v>Don Stuart</v>
      </c>
      <c r="D116" s="85" t="str">
        <f aca="false">VLOOKUP(B114,Merge!$A$1:$AD$29,16,FALSE())</f>
        <v>Volunteer</v>
      </c>
      <c r="E116" s="86" t="n">
        <f aca="false">VLOOKUP($B114,Merge!$A$1:$AD$29,18,FALSE())</f>
        <v>3</v>
      </c>
      <c r="F116" s="87" t="str">
        <f aca="false">VLOOKUP(B114,Merge!$A$1:$AD$29,17,FALSE())</f>
        <v>Beware of Greeks bringing Gifts</v>
      </c>
    </row>
    <row r="117" customFormat="false" ht="14.15" hidden="false" customHeight="true" outlineLevel="0" collapsed="false">
      <c r="B117" s="88" t="s">
        <v>318</v>
      </c>
      <c r="C117" s="89" t="str">
        <f aca="false">VLOOKUP(B114,Merge!$A$1:$AD$29,7,FALSE())</f>
        <v>Chao-Shui Xu</v>
      </c>
      <c r="D117" s="85" t="str">
        <f aca="false">VLOOKUP(B114,Merge!$A$1:$AD$29,19,FALSE())</f>
        <v>Volunteer</v>
      </c>
      <c r="E117" s="86" t="n">
        <f aca="false">VLOOKUP($B114,Merge!$A$1:$AD$29,21,FALSE())</f>
        <v>3</v>
      </c>
      <c r="F117" s="87" t="str">
        <f aca="false">VLOOKUP(B114,Merge!$A$1:$AD$29,20,FALSE())</f>
        <v>Many Hands Make Light Work</v>
      </c>
    </row>
    <row r="118" customFormat="false" ht="14.15" hidden="false" customHeight="true" outlineLevel="0" collapsed="false">
      <c r="B118" s="88" t="s">
        <v>308</v>
      </c>
      <c r="C118" s="89" t="str">
        <f aca="false">VLOOKUP(B114,Merge!$A$1:$AD$29,8,FALSE())</f>
        <v>Doug Aylen</v>
      </c>
      <c r="D118" s="85" t="str">
        <f aca="false">VLOOKUP(B114,Merge!$A$1:$AD$29,22,FALSE())</f>
        <v>Volunteer</v>
      </c>
      <c r="E118" s="90" t="n">
        <f aca="false">VLOOKUP($B114,Merge!$A$1:$AD$29,24,FALSE())</f>
        <v>3</v>
      </c>
      <c r="F118" s="89" t="str">
        <f aca="false">VLOOKUP(B114,Merge!$A$1:$AD$29,23,FALSE())</f>
        <v>Too Many Cooks Spoil the Broth</v>
      </c>
    </row>
    <row r="119" customFormat="false" ht="14.15" hidden="false" customHeight="true" outlineLevel="0" collapsed="false">
      <c r="B119" s="88" t="s">
        <v>309</v>
      </c>
      <c r="C119" s="89" t="str">
        <f aca="false">VLOOKUP(B114,Merge!$A$1:$AD$29,9,FALSE())</f>
        <v>Russell Cutting</v>
      </c>
      <c r="D119" s="85" t="str">
        <f aca="false">VLOOKUP(B114,Merge!$A$1:$AD$29,25,FALSE())</f>
        <v>Volunteer</v>
      </c>
      <c r="E119" s="90" t="n">
        <f aca="false">VLOOKUP($B114,Merge!$A$1:$AD$29,27,FALSE())</f>
        <v>3</v>
      </c>
      <c r="F119" s="89" t="str">
        <f aca="false">VLOOKUP(B114,Merge!$A$1:$AD$29,26,FALSE())</f>
        <v>Two Heads are Better than One</v>
      </c>
    </row>
    <row r="120" customFormat="false" ht="14.15" hidden="false" customHeight="true" outlineLevel="0" collapsed="false">
      <c r="B120" s="88"/>
      <c r="C120" s="89"/>
      <c r="D120" s="85" t="str">
        <f aca="false">VLOOKUP(B114,Merge!$A$1:$AD$29,28,FALSE())</f>
        <v>Volunteer</v>
      </c>
      <c r="E120" s="90" t="n">
        <f aca="false">VLOOKUP($B114,Merge!$A$1:$AD$29,30,FALSE())</f>
        <v>3</v>
      </c>
      <c r="F120" s="89" t="str">
        <f aca="false">VLOOKUP(B114,Merge!$A$1:$AD$29,29,FALSE())</f>
        <v>Two of a Trade Never Agree</v>
      </c>
    </row>
    <row r="121" customFormat="false" ht="14.15" hidden="false" customHeight="true" outlineLevel="0" collapsed="false">
      <c r="B121" s="79" t="n">
        <f aca="false">B114+1</f>
        <v>3344</v>
      </c>
      <c r="C121" s="80" t="n">
        <f aca="false">VLOOKUP(B121,Merge!$A$1:$AC$29,2,FALSE())</f>
        <v>40845</v>
      </c>
      <c r="D121" s="81" t="s">
        <v>229</v>
      </c>
      <c r="E121" s="82" t="s">
        <v>304</v>
      </c>
      <c r="F121" s="83" t="str">
        <f aca="false">VLOOKUP(B121,Merge!$A$1:$AD$29,11,FALSE())</f>
        <v>French</v>
      </c>
    </row>
    <row r="122" customFormat="false" ht="14.15" hidden="false" customHeight="true" outlineLevel="0" collapsed="false">
      <c r="B122" s="84" t="str">
        <f aca="false">VLOOKUP(B121,Merge!$A$1:$AC$29,3,FALSE())</f>
        <v>Fifth Friday Frolic</v>
      </c>
      <c r="C122" s="84"/>
      <c r="D122" s="85" t="str">
        <f aca="false">VLOOKUP(B121,Merge!$A$1:$AD$29,13,FALSE())</f>
        <v>Kym Beverley</v>
      </c>
      <c r="E122" s="86" t="n">
        <f aca="false">VLOOKUP($B121,Merge!$A$1:$AD$29,15,FALSE())</f>
        <v>5</v>
      </c>
      <c r="F122" s="87" t="str">
        <f aca="false">VLOOKUP(B121,Merge!$A$1:$AD$29,14,FALSE())</f>
        <v>Chacun à son goût</v>
      </c>
    </row>
    <row r="123" customFormat="false" ht="14.15" hidden="false" customHeight="true" outlineLevel="0" collapsed="false">
      <c r="B123" s="88" t="s">
        <v>306</v>
      </c>
      <c r="C123" s="89" t="str">
        <f aca="false">VLOOKUP(B121,Merge!$A$1:$AD$29,6,FALSE())</f>
        <v>Don Stuart</v>
      </c>
      <c r="D123" s="85" t="str">
        <f aca="false">VLOOKUP(B121,Merge!$A$1:$AD$29,16,FALSE())</f>
        <v>Barry Dwyer</v>
      </c>
      <c r="E123" s="86" t="n">
        <f aca="false">VLOOKUP($B121,Merge!$A$1:$AD$29,18,FALSE())</f>
        <v>5</v>
      </c>
      <c r="F123" s="87" t="str">
        <f aca="false">VLOOKUP(B121,Merge!$A$1:$AD$29,17,FALSE())</f>
        <v>Faute de mieux</v>
      </c>
    </row>
    <row r="124" customFormat="false" ht="14.15" hidden="false" customHeight="true" outlineLevel="0" collapsed="false">
      <c r="B124" s="88" t="s">
        <v>318</v>
      </c>
      <c r="C124" s="89" t="str">
        <f aca="false">VLOOKUP(B121,Merge!$A$1:$AD$29,7,FALSE())</f>
        <v>Doug Aylen</v>
      </c>
      <c r="D124" s="85" t="str">
        <f aca="false">VLOOKUP(B121,Merge!$A$1:$AD$29,19,FALSE())</f>
        <v>Barry Grear</v>
      </c>
      <c r="E124" s="86" t="n">
        <f aca="false">VLOOKUP($B121,Merge!$A$1:$AD$29,21,FALSE())</f>
        <v>5</v>
      </c>
      <c r="F124" s="87" t="str">
        <f aca="false">VLOOKUP(B121,Merge!$A$1:$AD$29,20,FALSE())</f>
        <v>Noblesse oblige</v>
      </c>
    </row>
    <row r="125" customFormat="false" ht="14.15" hidden="false" customHeight="true" outlineLevel="0" collapsed="false">
      <c r="B125" s="88" t="s">
        <v>308</v>
      </c>
      <c r="C125" s="89" t="str">
        <f aca="false">VLOOKUP(B121,Merge!$A$1:$AD$29,8,FALSE())</f>
        <v>David Phillips</v>
      </c>
      <c r="D125" s="85" t="str">
        <f aca="false">VLOOKUP(B121,Merge!$A$1:$AD$29,22,FALSE())</f>
        <v>Viv Samuel</v>
      </c>
      <c r="E125" s="90" t="n">
        <f aca="false">VLOOKUP($B121,Merge!$A$1:$AD$29,24,FALSE())</f>
        <v>5</v>
      </c>
      <c r="F125" s="89" t="str">
        <f aca="false">VLOOKUP(B121,Merge!$A$1:$AD$29,23,FALSE())</f>
        <v>Raison d'être</v>
      </c>
    </row>
    <row r="126" customFormat="false" ht="14.15" hidden="false" customHeight="true" outlineLevel="0" collapsed="false">
      <c r="B126" s="88" t="s">
        <v>309</v>
      </c>
      <c r="C126" s="89" t="str">
        <f aca="false">VLOOKUP(B121,Merge!$A$1:$AD$29,9,FALSE())</f>
        <v>Arthur Daw</v>
      </c>
      <c r="D126" s="85" t="str">
        <f aca="false">VLOOKUP(B121,Merge!$A$1:$AD$29,25,FALSE())</f>
        <v> </v>
      </c>
      <c r="E126" s="90" t="str">
        <f aca="false">VLOOKUP($B121,Merge!$A$1:$AD$29,27,FALSE())</f>
        <v> </v>
      </c>
      <c r="F126" s="89" t="str">
        <f aca="false">VLOOKUP(B121,Merge!$A$1:$AD$29,26,FALSE())</f>
        <v> </v>
      </c>
    </row>
    <row r="127" customFormat="false" ht="14.15" hidden="false" customHeight="true" outlineLevel="0" collapsed="false">
      <c r="B127" s="88"/>
      <c r="C127" s="89"/>
      <c r="D127" s="85" t="str">
        <f aca="false">VLOOKUP(B121,Merge!$A$1:$AD$29,28,FALSE())</f>
        <v> </v>
      </c>
      <c r="E127" s="90" t="str">
        <f aca="false">VLOOKUP($B121,Merge!$A$1:$AD$29,30,FALSE())</f>
        <v> </v>
      </c>
      <c r="F127" s="89" t="str">
        <f aca="false">VLOOKUP(B121,Merge!$A$1:$AD$29,29,FALSE())</f>
        <v> </v>
      </c>
    </row>
    <row r="128" customFormat="false" ht="14.15" hidden="false" customHeight="true" outlineLevel="0" collapsed="false">
      <c r="B128" s="79" t="n">
        <f aca="false">B121+1</f>
        <v>3345</v>
      </c>
      <c r="C128" s="80" t="n">
        <f aca="false">VLOOKUP(B128,Merge!$A$1:$AC$29,2,FALSE())</f>
        <v>40852</v>
      </c>
      <c r="D128" s="81" t="s">
        <v>229</v>
      </c>
      <c r="E128" s="82" t="s">
        <v>304</v>
      </c>
      <c r="F128" s="83" t="str">
        <f aca="false">VLOOKUP(B128,Merge!$A$1:$AD$29,11,FALSE())</f>
        <v>Perplexing Partners 2</v>
      </c>
    </row>
    <row r="129" customFormat="false" ht="14.15" hidden="false" customHeight="true" outlineLevel="0" collapsed="false">
      <c r="B129" s="84" t="str">
        <f aca="false">VLOOKUP(B128,Merge!$A$1:$AC$29,3,FALSE())</f>
        <v>Business Meeting</v>
      </c>
      <c r="C129" s="84"/>
      <c r="D129" s="85" t="str">
        <f aca="false">VLOOKUP(B128,Merge!$A$1:$AD$29,13,FALSE())</f>
        <v>Volunteer</v>
      </c>
      <c r="E129" s="86" t="n">
        <f aca="false">VLOOKUP($B128,Merge!$A$1:$AD$29,15,FALSE())</f>
        <v>3</v>
      </c>
      <c r="F129" s="87" t="str">
        <f aca="false">VLOOKUP(B128,Merge!$A$1:$AD$29,14,FALSE())</f>
        <v>With Age Cometh Wisdom</v>
      </c>
    </row>
    <row r="130" customFormat="false" ht="14.15" hidden="false" customHeight="true" outlineLevel="0" collapsed="false">
      <c r="B130" s="88" t="s">
        <v>306</v>
      </c>
      <c r="C130" s="89" t="str">
        <f aca="false">VLOOKUP(B128,Merge!$A$1:$AD$29,6,FALSE())</f>
        <v>Don Stuart</v>
      </c>
      <c r="D130" s="85" t="str">
        <f aca="false">VLOOKUP(B128,Merge!$A$1:$AD$29,16,FALSE())</f>
        <v>Volunteer</v>
      </c>
      <c r="E130" s="86" t="n">
        <f aca="false">VLOOKUP($B128,Merge!$A$1:$AD$29,18,FALSE())</f>
        <v>3</v>
      </c>
      <c r="F130" s="87" t="str">
        <f aca="false">VLOOKUP(B128,Merge!$A$1:$AD$29,17,FALSE())</f>
        <v>No Fool like an Old Fool</v>
      </c>
    </row>
    <row r="131" customFormat="false" ht="14.15" hidden="false" customHeight="true" outlineLevel="0" collapsed="false">
      <c r="B131" s="88" t="s">
        <v>318</v>
      </c>
      <c r="C131" s="89" t="str">
        <f aca="false">VLOOKUP(B128,Merge!$A$1:$AD$29,7,FALSE())</f>
        <v>Jim Stewart</v>
      </c>
      <c r="D131" s="85" t="str">
        <f aca="false">VLOOKUP(B128,Merge!$A$1:$AD$29,19,FALSE())</f>
        <v>Volunteer</v>
      </c>
      <c r="E131" s="86" t="n">
        <f aca="false">VLOOKUP($B128,Merge!$A$1:$AD$29,21,FALSE())</f>
        <v>3</v>
      </c>
      <c r="F131" s="87" t="str">
        <f aca="false">VLOOKUP(B128,Merge!$A$1:$AD$29,20,FALSE())</f>
        <v>Tomorrow's Another Day</v>
      </c>
    </row>
    <row r="132" customFormat="false" ht="14.15" hidden="false" customHeight="true" outlineLevel="0" collapsed="false">
      <c r="B132" s="88" t="s">
        <v>308</v>
      </c>
      <c r="C132" s="89" t="str">
        <f aca="false">VLOOKUP(B128,Merge!$A$1:$AD$29,8,FALSE())</f>
        <v>Terry Anderson</v>
      </c>
      <c r="D132" s="85" t="str">
        <f aca="false">VLOOKUP(B128,Merge!$A$1:$AD$29,22,FALSE())</f>
        <v>Volunteer</v>
      </c>
      <c r="E132" s="90" t="n">
        <f aca="false">VLOOKUP($B128,Merge!$A$1:$AD$29,24,FALSE())</f>
        <v>3</v>
      </c>
      <c r="F132" s="89" t="str">
        <f aca="false">VLOOKUP(B128,Merge!$A$1:$AD$29,23,FALSE())</f>
        <v>Tomorrow Never Comes</v>
      </c>
    </row>
    <row r="133" customFormat="false" ht="14.15" hidden="false" customHeight="true" outlineLevel="0" collapsed="false">
      <c r="B133" s="88" t="s">
        <v>309</v>
      </c>
      <c r="C133" s="89" t="str">
        <f aca="false">VLOOKUP(B128,Merge!$A$1:$AD$29,9,FALSE())</f>
        <v>Norm Duncan</v>
      </c>
      <c r="D133" s="85" t="str">
        <f aca="false">VLOOKUP(B128,Merge!$A$1:$AD$29,25,FALSE())</f>
        <v>Volunteer</v>
      </c>
      <c r="E133" s="90" t="n">
        <f aca="false">VLOOKUP($B128,Merge!$A$1:$AD$29,27,FALSE())</f>
        <v>3</v>
      </c>
      <c r="F133" s="89" t="str">
        <f aca="false">VLOOKUP(B128,Merge!$A$1:$AD$29,26,FALSE())</f>
        <v>Great Minds Think Alike</v>
      </c>
    </row>
    <row r="134" customFormat="false" ht="14.15" hidden="false" customHeight="true" outlineLevel="0" collapsed="false">
      <c r="B134" s="88"/>
      <c r="C134" s="89"/>
      <c r="D134" s="85" t="str">
        <f aca="false">VLOOKUP(B128,Merge!$A$1:$AD$29,28,FALSE())</f>
        <v>Volunteer</v>
      </c>
      <c r="E134" s="90" t="n">
        <f aca="false">VLOOKUP($B128,Merge!$A$1:$AD$29,30,FALSE())</f>
        <v>3</v>
      </c>
      <c r="F134" s="89" t="str">
        <f aca="false">VLOOKUP(B128,Merge!$A$1:$AD$29,29,FALSE())</f>
        <v>Idiots Seldom Differ</v>
      </c>
    </row>
    <row r="135" customFormat="false" ht="14.15" hidden="false" customHeight="true" outlineLevel="0" collapsed="false">
      <c r="B135" s="79" t="n">
        <f aca="false">B128+1</f>
        <v>3346</v>
      </c>
      <c r="C135" s="80" t="n">
        <f aca="false">VLOOKUP(B135,Merge!$A$1:$AC$29,2,FALSE())</f>
        <v>40859</v>
      </c>
      <c r="D135" s="81" t="s">
        <v>229</v>
      </c>
      <c r="E135" s="82" t="s">
        <v>304</v>
      </c>
      <c r="F135" s="83" t="str">
        <f aca="false">VLOOKUP(B135,Merge!$A$1:$AD$29,11,FALSE())</f>
        <v>Commonplace Latin</v>
      </c>
    </row>
    <row r="136" customFormat="false" ht="14.15" hidden="false" customHeight="true" outlineLevel="0" collapsed="false">
      <c r="B136" s="84" t="str">
        <f aca="false">VLOOKUP(B135,Merge!$A$1:$AC$29,3,FALSE())</f>
        <v>Normal Meeting</v>
      </c>
      <c r="C136" s="84"/>
      <c r="D136" s="85" t="str">
        <f aca="false">VLOOKUP(B135,Merge!$A$1:$AD$29,13,FALSE())</f>
        <v>Ed McAlister</v>
      </c>
      <c r="E136" s="86" t="n">
        <f aca="false">VLOOKUP($B135,Merge!$A$1:$AD$29,15,FALSE())</f>
        <v>6</v>
      </c>
      <c r="F136" s="87" t="str">
        <f aca="false">VLOOKUP(B135,Merge!$A$1:$AD$29,14,FALSE())</f>
        <v>Alter Ego</v>
      </c>
    </row>
    <row r="137" customFormat="false" ht="14.15" hidden="false" customHeight="true" outlineLevel="0" collapsed="false">
      <c r="B137" s="88" t="s">
        <v>306</v>
      </c>
      <c r="C137" s="89" t="str">
        <f aca="false">VLOOKUP(B135,Merge!$A$1:$AD$29,6,FALSE())</f>
        <v>Don Stuart</v>
      </c>
      <c r="D137" s="85" t="str">
        <f aca="false">VLOOKUP(B135,Merge!$A$1:$AD$29,16,FALSE())</f>
        <v>Arthur Daw</v>
      </c>
      <c r="E137" s="86" t="n">
        <f aca="false">VLOOKUP($B135,Merge!$A$1:$AD$29,18,FALSE())</f>
        <v>5</v>
      </c>
      <c r="F137" s="87" t="str">
        <f aca="false">VLOOKUP(B135,Merge!$A$1:$AD$29,17,FALSE())</f>
        <v>Mens Sana in Corpore Sano</v>
      </c>
    </row>
    <row r="138" customFormat="false" ht="14.15" hidden="false" customHeight="true" outlineLevel="0" collapsed="false">
      <c r="B138" s="88" t="s">
        <v>318</v>
      </c>
      <c r="C138" s="89" t="str">
        <f aca="false">VLOOKUP(B135,Merge!$A$1:$AD$29,7,FALSE())</f>
        <v>Barry Dwyer</v>
      </c>
      <c r="D138" s="85" t="str">
        <f aca="false">VLOOKUP(B135,Merge!$A$1:$AD$29,19,FALSE())</f>
        <v>Richard Smith</v>
      </c>
      <c r="E138" s="86" t="n">
        <f aca="false">VLOOKUP($B135,Merge!$A$1:$AD$29,21,FALSE())</f>
        <v>10</v>
      </c>
      <c r="F138" s="87" t="str">
        <f aca="false">VLOOKUP(B135,Merge!$A$1:$AD$29,20,FALSE())</f>
        <v>Quis Custodiet Ipsos Custodies?</v>
      </c>
    </row>
    <row r="139" customFormat="false" ht="14.15" hidden="false" customHeight="true" outlineLevel="0" collapsed="false">
      <c r="B139" s="88" t="s">
        <v>308</v>
      </c>
      <c r="C139" s="89" t="str">
        <f aca="false">VLOOKUP(B135,Merge!$A$1:$AD$29,8,FALSE())</f>
        <v>Chao-Shui Xu</v>
      </c>
      <c r="D139" s="85" t="str">
        <f aca="false">VLOOKUP(B135,Merge!$A$1:$AD$29,22,FALSE())</f>
        <v> </v>
      </c>
      <c r="E139" s="90" t="str">
        <f aca="false">VLOOKUP($B135,Merge!$A$1:$AD$29,24,FALSE())</f>
        <v> </v>
      </c>
      <c r="F139" s="89" t="str">
        <f aca="false">VLOOKUP(B135,Merge!$A$1:$AD$29,23,FALSE())</f>
        <v> </v>
      </c>
    </row>
    <row r="140" customFormat="false" ht="14.15" hidden="false" customHeight="true" outlineLevel="0" collapsed="false">
      <c r="B140" s="88" t="s">
        <v>309</v>
      </c>
      <c r="C140" s="89" t="str">
        <f aca="false">VLOOKUP(B135,Merge!$A$1:$AD$29,9,FALSE())</f>
        <v>Bill Stacy</v>
      </c>
      <c r="D140" s="85" t="str">
        <f aca="false">VLOOKUP(B135,Merge!$A$1:$AD$29,25,FALSE())</f>
        <v> </v>
      </c>
      <c r="E140" s="90" t="str">
        <f aca="false">VLOOKUP($B135,Merge!$A$1:$AD$29,27,FALSE())</f>
        <v> </v>
      </c>
      <c r="F140" s="89" t="str">
        <f aca="false">VLOOKUP(B135,Merge!$A$1:$AD$29,26,FALSE())</f>
        <v> </v>
      </c>
    </row>
    <row r="141" customFormat="false" ht="14.15" hidden="false" customHeight="true" outlineLevel="0" collapsed="false">
      <c r="B141" s="88"/>
      <c r="C141" s="89"/>
      <c r="D141" s="85" t="str">
        <f aca="false">VLOOKUP(B135,Merge!$A$1:$AD$29,28,FALSE())</f>
        <v> </v>
      </c>
      <c r="E141" s="90" t="str">
        <f aca="false">VLOOKUP($B135,Merge!$A$1:$AD$29,30,FALSE())</f>
        <v> </v>
      </c>
      <c r="F141" s="89" t="str">
        <f aca="false">VLOOKUP(B135,Merge!$A$1:$AD$29,29,FALSE())</f>
        <v> </v>
      </c>
    </row>
    <row r="142" customFormat="false" ht="14.15" hidden="false" customHeight="true" outlineLevel="0" collapsed="false">
      <c r="B142" s="79" t="n">
        <f aca="false">B135+1</f>
        <v>3347</v>
      </c>
      <c r="C142" s="80" t="n">
        <f aca="false">VLOOKUP(B142,Merge!$A$1:$AC$29,2,FALSE())</f>
        <v>40866</v>
      </c>
      <c r="D142" s="81" t="s">
        <v>229</v>
      </c>
      <c r="E142" s="82" t="s">
        <v>304</v>
      </c>
      <c r="F142" s="83" t="str">
        <f aca="false">VLOOKUP(B142,Merge!$A$1:$AD$29,11,FALSE())</f>
        <v>Perplexing Partners 3</v>
      </c>
    </row>
    <row r="143" customFormat="false" ht="14.15" hidden="false" customHeight="true" outlineLevel="0" collapsed="false">
      <c r="B143" s="84" t="str">
        <f aca="false">VLOOKUP(B142,Merge!$A$1:$AC$29,3,FALSE())</f>
        <v>Normal Meeting</v>
      </c>
      <c r="C143" s="84"/>
      <c r="D143" s="85" t="str">
        <f aca="false">VLOOKUP(B142,Merge!$A$1:$AD$29,13,FALSE())</f>
        <v>Volunteer</v>
      </c>
      <c r="E143" s="86" t="n">
        <f aca="false">VLOOKUP($B142,Merge!$A$1:$AD$29,15,FALSE())</f>
        <v>3</v>
      </c>
      <c r="F143" s="87" t="str">
        <f aca="false">VLOOKUP(B142,Merge!$A$1:$AD$29,14,FALSE())</f>
        <v>Absence Makes the Heart Grow Fonder</v>
      </c>
    </row>
    <row r="144" customFormat="false" ht="14.15" hidden="false" customHeight="true" outlineLevel="0" collapsed="false">
      <c r="B144" s="88" t="s">
        <v>306</v>
      </c>
      <c r="C144" s="89" t="str">
        <f aca="false">VLOOKUP(B142,Merge!$A$1:$AD$29,6,FALSE())</f>
        <v>Don Stuart</v>
      </c>
      <c r="D144" s="85" t="str">
        <f aca="false">VLOOKUP(B142,Merge!$A$1:$AD$29,16,FALSE())</f>
        <v>Volunteer</v>
      </c>
      <c r="E144" s="86" t="n">
        <f aca="false">VLOOKUP($B142,Merge!$A$1:$AD$29,18,FALSE())</f>
        <v>3</v>
      </c>
      <c r="F144" s="87" t="str">
        <f aca="false">VLOOKUP(B142,Merge!$A$1:$AD$29,17,FALSE())</f>
        <v>Out of Sight, Out of Mind</v>
      </c>
    </row>
    <row r="145" customFormat="false" ht="14.15" hidden="false" customHeight="true" outlineLevel="0" collapsed="false">
      <c r="B145" s="88" t="s">
        <v>318</v>
      </c>
      <c r="C145" s="89" t="str">
        <f aca="false">VLOOKUP(B142,Merge!$A$1:$AD$29,7,FALSE())</f>
        <v>Peter Martindale</v>
      </c>
      <c r="D145" s="85" t="str">
        <f aca="false">VLOOKUP(B142,Merge!$A$1:$AD$29,19,FALSE())</f>
        <v>Volunteer</v>
      </c>
      <c r="E145" s="86" t="n">
        <f aca="false">VLOOKUP($B142,Merge!$A$1:$AD$29,21,FALSE())</f>
        <v>3</v>
      </c>
      <c r="F145" s="87" t="str">
        <f aca="false">VLOOKUP(B142,Merge!$A$1:$AD$29,20,FALSE())</f>
        <v>Never Judge a Book by its Cover</v>
      </c>
    </row>
    <row r="146" customFormat="false" ht="14.15" hidden="false" customHeight="true" outlineLevel="0" collapsed="false">
      <c r="B146" s="88" t="s">
        <v>308</v>
      </c>
      <c r="C146" s="89" t="str">
        <f aca="false">VLOOKUP(B142,Merge!$A$1:$AD$29,8,FALSE())</f>
        <v>Kym Beverley</v>
      </c>
      <c r="D146" s="85" t="str">
        <f aca="false">VLOOKUP(B142,Merge!$A$1:$AD$29,22,FALSE())</f>
        <v>Volunteer</v>
      </c>
      <c r="E146" s="90" t="n">
        <f aca="false">VLOOKUP($B142,Merge!$A$1:$AD$29,24,FALSE())</f>
        <v>3</v>
      </c>
      <c r="F146" s="89" t="str">
        <f aca="false">VLOOKUP(B142,Merge!$A$1:$AD$29,23,FALSE())</f>
        <v>First Impressions are usually Correct</v>
      </c>
    </row>
    <row r="147" customFormat="false" ht="14.15" hidden="false" customHeight="true" outlineLevel="0" collapsed="false">
      <c r="B147" s="88" t="s">
        <v>309</v>
      </c>
      <c r="C147" s="89" t="str">
        <f aca="false">VLOOKUP(B142,Merge!$A$1:$AD$29,9,FALSE())</f>
        <v>Young-Il Kim</v>
      </c>
      <c r="D147" s="85" t="str">
        <f aca="false">VLOOKUP(B142,Merge!$A$1:$AD$29,25,FALSE())</f>
        <v>Volunteer</v>
      </c>
      <c r="E147" s="90" t="n">
        <f aca="false">VLOOKUP($B142,Merge!$A$1:$AD$29,27,FALSE())</f>
        <v>3</v>
      </c>
      <c r="F147" s="89" t="str">
        <f aca="false">VLOOKUP(B142,Merge!$A$1:$AD$29,26,FALSE())</f>
        <v>You're Never too Old to Learn</v>
      </c>
    </row>
    <row r="148" customFormat="false" ht="14.15" hidden="false" customHeight="true" outlineLevel="0" collapsed="false">
      <c r="B148" s="88"/>
      <c r="C148" s="89"/>
      <c r="D148" s="85" t="str">
        <f aca="false">VLOOKUP(B142,Merge!$A$1:$AD$29,28,FALSE())</f>
        <v>Volunteer</v>
      </c>
      <c r="E148" s="90" t="n">
        <f aca="false">VLOOKUP($B142,Merge!$A$1:$AD$29,30,FALSE())</f>
        <v>3</v>
      </c>
      <c r="F148" s="89" t="str">
        <f aca="false">VLOOKUP(B142,Merge!$A$1:$AD$29,29,FALSE())</f>
        <v>You Can't Teach an Old Dog New Tricks</v>
      </c>
    </row>
    <row r="149" customFormat="false" ht="14.15" hidden="false" customHeight="true" outlineLevel="0" collapsed="false">
      <c r="B149" s="79" t="n">
        <f aca="false">B142+1</f>
        <v>3348</v>
      </c>
      <c r="C149" s="80" t="n">
        <f aca="false">VLOOKUP(B149,Merge!$A$1:$AC$29,2,FALSE())</f>
        <v>40873</v>
      </c>
      <c r="D149" s="81" t="s">
        <v>229</v>
      </c>
      <c r="E149" s="82" t="s">
        <v>304</v>
      </c>
      <c r="F149" s="83" t="str">
        <f aca="false">VLOOKUP(B149,Merge!$A$1:$AD$29,11,FALSE())</f>
        <v>Stumps</v>
      </c>
    </row>
    <row r="150" customFormat="false" ht="14.15" hidden="false" customHeight="true" outlineLevel="0" collapsed="false">
      <c r="B150" s="84" t="str">
        <f aca="false">VLOOKUP(B149,Merge!$A$1:$AC$29,3,FALSE())</f>
        <v>Normal Meeting</v>
      </c>
      <c r="C150" s="84"/>
      <c r="D150" s="85" t="str">
        <f aca="false">VLOOKUP(B149,Merge!$A$1:$AD$29,13,FALSE())</f>
        <v>Mark Williams</v>
      </c>
      <c r="E150" s="86" t="n">
        <f aca="false">VLOOKUP($B149,Merge!$A$1:$AD$29,15,FALSE())</f>
        <v>7</v>
      </c>
      <c r="F150" s="87" t="str">
        <f aca="false">VLOOKUP(B149,Merge!$A$1:$AD$29,14,FALSE())</f>
        <v>Completely Stumped</v>
      </c>
    </row>
    <row r="151" customFormat="false" ht="14.15" hidden="false" customHeight="true" outlineLevel="0" collapsed="false">
      <c r="B151" s="88" t="s">
        <v>306</v>
      </c>
      <c r="C151" s="89" t="str">
        <f aca="false">VLOOKUP(B149,Merge!$A$1:$AD$29,6,FALSE())</f>
        <v>Don Stuart</v>
      </c>
      <c r="D151" s="85" t="str">
        <f aca="false">VLOOKUP(B149,Merge!$A$1:$AD$29,16,FALSE())</f>
        <v>Rolf Prager</v>
      </c>
      <c r="E151" s="86" t="n">
        <f aca="false">VLOOKUP($B149,Merge!$A$1:$AD$29,18,FALSE())</f>
        <v>7</v>
      </c>
      <c r="F151" s="87" t="str">
        <f aca="false">VLOOKUP(B149,Merge!$A$1:$AD$29,17,FALSE())</f>
        <v>Tree Stump</v>
      </c>
    </row>
    <row r="152" customFormat="false" ht="14.15" hidden="false" customHeight="true" outlineLevel="0" collapsed="false">
      <c r="B152" s="88" t="s">
        <v>318</v>
      </c>
      <c r="C152" s="89" t="str">
        <f aca="false">VLOOKUP(B149,Merge!$A$1:$AD$29,7,FALSE())</f>
        <v>Norm Duncan</v>
      </c>
      <c r="D152" s="85" t="str">
        <f aca="false">VLOOKUP(B149,Merge!$A$1:$AD$29,19,FALSE())</f>
        <v>David Knight</v>
      </c>
      <c r="E152" s="86" t="n">
        <f aca="false">VLOOKUP($B149,Merge!$A$1:$AD$29,21,FALSE())</f>
        <v>7</v>
      </c>
      <c r="F152" s="87" t="str">
        <f aca="false">VLOOKUP(B149,Merge!$A$1:$AD$29,20,FALSE())</f>
        <v>Beyond the Black Stump</v>
      </c>
    </row>
    <row r="153" customFormat="false" ht="14.15" hidden="false" customHeight="true" outlineLevel="0" collapsed="false">
      <c r="B153" s="88" t="s">
        <v>308</v>
      </c>
      <c r="C153" s="89" t="str">
        <f aca="false">VLOOKUP(B149,Merge!$A$1:$AD$29,8,FALSE())</f>
        <v>Russell Cutting</v>
      </c>
      <c r="D153" s="85" t="str">
        <f aca="false">VLOOKUP(B149,Merge!$A$1:$AD$29,22,FALSE())</f>
        <v> </v>
      </c>
      <c r="E153" s="90" t="str">
        <f aca="false">VLOOKUP($B149,Merge!$A$1:$AD$29,24,FALSE())</f>
        <v> </v>
      </c>
      <c r="F153" s="89" t="str">
        <f aca="false">VLOOKUP(B149,Merge!$A$1:$AD$29,23,FALSE())</f>
        <v> </v>
      </c>
    </row>
    <row r="154" customFormat="false" ht="14.15" hidden="false" customHeight="true" outlineLevel="0" collapsed="false">
      <c r="B154" s="88" t="s">
        <v>309</v>
      </c>
      <c r="C154" s="89" t="str">
        <f aca="false">VLOOKUP(B149,Merge!$A$1:$AD$29,9,FALSE())</f>
        <v>Richard Smith</v>
      </c>
      <c r="D154" s="85" t="str">
        <f aca="false">VLOOKUP(B149,Merge!$A$1:$AD$29,25,FALSE())</f>
        <v> </v>
      </c>
      <c r="E154" s="90" t="str">
        <f aca="false">VLOOKUP($B149,Merge!$A$1:$AD$29,27,FALSE())</f>
        <v> </v>
      </c>
      <c r="F154" s="89" t="str">
        <f aca="false">VLOOKUP(B149,Merge!$A$1:$AD$29,26,FALSE())</f>
        <v> </v>
      </c>
    </row>
    <row r="155" customFormat="false" ht="14.15" hidden="false" customHeight="true" outlineLevel="0" collapsed="false">
      <c r="B155" s="88"/>
      <c r="C155" s="89"/>
      <c r="D155" s="85" t="str">
        <f aca="false">VLOOKUP(B149,Merge!$A$1:$AD$29,28,FALSE())</f>
        <v> </v>
      </c>
      <c r="E155" s="90" t="str">
        <f aca="false">VLOOKUP($B149,Merge!$A$1:$AD$29,30,FALSE())</f>
        <v> </v>
      </c>
      <c r="F155" s="89" t="str">
        <f aca="false">VLOOKUP(B149,Merge!$A$1:$AD$29,29,FALSE())</f>
        <v> </v>
      </c>
    </row>
    <row r="156" customFormat="false" ht="14.15" hidden="false" customHeight="true" outlineLevel="0" collapsed="false">
      <c r="B156" s="79" t="n">
        <f aca="false">B149+1</f>
        <v>3349</v>
      </c>
      <c r="C156" s="80" t="n">
        <f aca="false">VLOOKUP(B156,Merge!$A$1:$AC$29,2,FALSE())</f>
        <v>40880</v>
      </c>
      <c r="D156" s="81" t="s">
        <v>229</v>
      </c>
      <c r="E156" s="82" t="s">
        <v>304</v>
      </c>
      <c r="F156" s="83" t="str">
        <f aca="false">VLOOKUP(B156,Merge!$A$1:$AD$29,11,FALSE())</f>
        <v>Bats</v>
      </c>
    </row>
    <row r="157" customFormat="false" ht="14.15" hidden="false" customHeight="true" outlineLevel="0" collapsed="false">
      <c r="B157" s="84" t="str">
        <f aca="false">VLOOKUP(B156,Merge!$A$1:$AC$29,3,FALSE())</f>
        <v>Normal Meeting</v>
      </c>
      <c r="C157" s="84"/>
      <c r="D157" s="85" t="str">
        <f aca="false">VLOOKUP(B156,Merge!$A$1:$AD$29,13,FALSE())</f>
        <v>Doug Aylen</v>
      </c>
      <c r="E157" s="86" t="n">
        <f aca="false">VLOOKUP($B156,Merge!$A$1:$AD$29,15,FALSE())</f>
        <v>6</v>
      </c>
      <c r="F157" s="87" t="str">
        <f aca="false">VLOOKUP(B156,Merge!$A$1:$AD$29,14,FALSE())</f>
        <v>Bats in the Belfry</v>
      </c>
    </row>
    <row r="158" customFormat="false" ht="14.15" hidden="false" customHeight="true" outlineLevel="0" collapsed="false">
      <c r="B158" s="88" t="s">
        <v>306</v>
      </c>
      <c r="C158" s="89" t="str">
        <f aca="false">VLOOKUP(B156,Merge!$A$1:$AD$29,6,FALSE())</f>
        <v>Don Stuart</v>
      </c>
      <c r="D158" s="85" t="str">
        <f aca="false">VLOOKUP(B156,Merge!$A$1:$AD$29,16,FALSE())</f>
        <v>Norm Duncan</v>
      </c>
      <c r="E158" s="86" t="n">
        <f aca="false">VLOOKUP($B156,Merge!$A$1:$AD$29,18,FALSE())</f>
        <v>4</v>
      </c>
      <c r="F158" s="87" t="str">
        <f aca="false">VLOOKUP(B156,Merge!$A$1:$AD$29,17,FALSE())</f>
        <v>Bat out of Hell</v>
      </c>
    </row>
    <row r="159" customFormat="false" ht="14.15" hidden="false" customHeight="true" outlineLevel="0" collapsed="false">
      <c r="B159" s="88" t="s">
        <v>318</v>
      </c>
      <c r="C159" s="89" t="str">
        <f aca="false">VLOOKUP(B156,Merge!$A$1:$AD$29,7,FALSE())</f>
        <v>Kym Beverley</v>
      </c>
      <c r="D159" s="85" t="str">
        <f aca="false">VLOOKUP(B156,Merge!$A$1:$AD$29,19,FALSE())</f>
        <v>Martin Lambert</v>
      </c>
      <c r="E159" s="86" t="n">
        <f aca="false">VLOOKUP($B156,Merge!$A$1:$AD$29,21,FALSE())</f>
        <v>6</v>
      </c>
      <c r="F159" s="87" t="str">
        <f aca="false">VLOOKUP(B156,Merge!$A$1:$AD$29,20,FALSE())</f>
        <v>Don't Bat an Eye</v>
      </c>
    </row>
    <row r="160" customFormat="false" ht="14.15" hidden="false" customHeight="true" outlineLevel="0" collapsed="false">
      <c r="B160" s="88" t="s">
        <v>308</v>
      </c>
      <c r="C160" s="89" t="str">
        <f aca="false">VLOOKUP(B156,Merge!$A$1:$AD$29,8,FALSE())</f>
        <v>Barry Dwyer</v>
      </c>
      <c r="D160" s="85" t="str">
        <f aca="false">VLOOKUP(B156,Merge!$A$1:$AD$29,22,FALSE())</f>
        <v>Ed McAlister</v>
      </c>
      <c r="E160" s="90" t="n">
        <f aca="false">VLOOKUP($B156,Merge!$A$1:$AD$29,24,FALSE())</f>
        <v>4</v>
      </c>
      <c r="F160" s="89" t="str">
        <f aca="false">VLOOKUP(B156,Merge!$A$1:$AD$29,23,FALSE())</f>
        <v>Blind as a Bat</v>
      </c>
    </row>
    <row r="161" customFormat="false" ht="14.15" hidden="false" customHeight="true" outlineLevel="0" collapsed="false">
      <c r="B161" s="88" t="s">
        <v>309</v>
      </c>
      <c r="C161" s="89" t="str">
        <f aca="false">VLOOKUP(B156,Merge!$A$1:$AD$29,9,FALSE())</f>
        <v>David Knight</v>
      </c>
      <c r="D161" s="85" t="str">
        <f aca="false">VLOOKUP(B156,Merge!$A$1:$AD$29,25,FALSE())</f>
        <v> </v>
      </c>
      <c r="E161" s="90" t="str">
        <f aca="false">VLOOKUP($B156,Merge!$A$1:$AD$29,27,FALSE())</f>
        <v> </v>
      </c>
      <c r="F161" s="89" t="str">
        <f aca="false">VLOOKUP(B156,Merge!$A$1:$AD$29,26,FALSE())</f>
        <v> </v>
      </c>
    </row>
    <row r="162" customFormat="false" ht="14.15" hidden="false" customHeight="true" outlineLevel="0" collapsed="false">
      <c r="B162" s="88"/>
      <c r="C162" s="89"/>
      <c r="D162" s="85" t="str">
        <f aca="false">VLOOKUP(B156,Merge!$A$1:$AD$29,28,FALSE())</f>
        <v> </v>
      </c>
      <c r="E162" s="90" t="str">
        <f aca="false">VLOOKUP($B156,Merge!$A$1:$AD$29,30,FALSE())</f>
        <v> </v>
      </c>
      <c r="F162" s="89" t="str">
        <f aca="false">VLOOKUP(B156,Merge!$A$1:$AD$29,29,FALSE())</f>
        <v> </v>
      </c>
    </row>
    <row r="163" customFormat="false" ht="14.15" hidden="false" customHeight="true" outlineLevel="0" collapsed="false">
      <c r="B163" s="79" t="n">
        <f aca="false">B156+1</f>
        <v>3350</v>
      </c>
      <c r="C163" s="80" t="n">
        <f aca="false">VLOOKUP(B163,Merge!$A$1:$AC$29,2,FALSE())</f>
        <v>40887</v>
      </c>
      <c r="D163" s="81" t="s">
        <v>229</v>
      </c>
      <c r="E163" s="82" t="s">
        <v>304</v>
      </c>
      <c r="F163" s="83" t="str">
        <f aca="false">VLOOKUP(B163,Merge!$A$1:$AD$29,11,FALSE())</f>
        <v>Silly</v>
      </c>
    </row>
    <row r="164" customFormat="false" ht="14.15" hidden="false" customHeight="true" outlineLevel="0" collapsed="false">
      <c r="B164" s="84" t="str">
        <f aca="false">VLOOKUP(B163,Merge!$A$1:$AC$29,3,FALSE())</f>
        <v>Normal Meeting</v>
      </c>
      <c r="C164" s="84"/>
      <c r="D164" s="85" t="str">
        <f aca="false">VLOOKUP(B163,Merge!$A$1:$AD$29,13,FALSE())</f>
        <v>Chao-Shui Xu</v>
      </c>
      <c r="E164" s="86" t="n">
        <f aca="false">VLOOKUP($B163,Merge!$A$1:$AD$29,15,FALSE())</f>
        <v>6</v>
      </c>
      <c r="F164" s="87" t="str">
        <f aca="false">VLOOKUP(B163,Merge!$A$1:$AD$29,14,FALSE())</f>
        <v>Silly Season</v>
      </c>
    </row>
    <row r="165" customFormat="false" ht="14.15" hidden="false" customHeight="true" outlineLevel="0" collapsed="false">
      <c r="B165" s="88" t="s">
        <v>306</v>
      </c>
      <c r="C165" s="89" t="str">
        <f aca="false">VLOOKUP(B163,Merge!$A$1:$AD$29,6,FALSE())</f>
        <v>Don Stuart</v>
      </c>
      <c r="D165" s="85" t="str">
        <f aca="false">VLOOKUP(B163,Merge!$A$1:$AD$29,16,FALSE())</f>
        <v>Bill Stacy</v>
      </c>
      <c r="E165" s="86" t="n">
        <f aca="false">VLOOKUP($B163,Merge!$A$1:$AD$29,18,FALSE())</f>
        <v>6</v>
      </c>
      <c r="F165" s="87" t="str">
        <f aca="false">VLOOKUP(B163,Merge!$A$1:$AD$29,17,FALSE())</f>
        <v>Silly Money</v>
      </c>
    </row>
    <row r="166" customFormat="false" ht="14.15" hidden="false" customHeight="true" outlineLevel="0" collapsed="false">
      <c r="B166" s="88" t="s">
        <v>318</v>
      </c>
      <c r="C166" s="89" t="str">
        <f aca="false">VLOOKUP(B163,Merge!$A$1:$AD$29,7,FALSE())</f>
        <v>Geoff Holden</v>
      </c>
      <c r="D166" s="85" t="str">
        <f aca="false">VLOOKUP(B163,Merge!$A$1:$AD$29,19,FALSE())</f>
        <v>Terry Anderson</v>
      </c>
      <c r="E166" s="86" t="n">
        <f aca="false">VLOOKUP($B163,Merge!$A$1:$AD$29,21,FALSE())</f>
        <v>6</v>
      </c>
      <c r="F166" s="87" t="str">
        <f aca="false">VLOOKUP(B163,Merge!$A$1:$AD$29,20,FALSE())</f>
        <v>Silicon</v>
      </c>
    </row>
    <row r="167" customFormat="false" ht="14.15" hidden="false" customHeight="true" outlineLevel="0" collapsed="false">
      <c r="B167" s="88" t="s">
        <v>308</v>
      </c>
      <c r="C167" s="89" t="str">
        <f aca="false">VLOOKUP(B163,Merge!$A$1:$AD$29,8,FALSE())</f>
        <v>Barry Grear</v>
      </c>
      <c r="D167" s="85" t="str">
        <f aca="false">VLOOKUP(B163,Merge!$A$1:$AD$29,22,FALSE())</f>
        <v> </v>
      </c>
      <c r="E167" s="90" t="str">
        <f aca="false">VLOOKUP($B163,Merge!$A$1:$AD$29,24,FALSE())</f>
        <v> </v>
      </c>
      <c r="F167" s="89" t="str">
        <f aca="false">VLOOKUP(B163,Merge!$A$1:$AD$29,23,FALSE())</f>
        <v> </v>
      </c>
    </row>
    <row r="168" customFormat="false" ht="14.15" hidden="false" customHeight="true" outlineLevel="0" collapsed="false">
      <c r="B168" s="88" t="s">
        <v>309</v>
      </c>
      <c r="C168" s="89" t="str">
        <f aca="false">VLOOKUP(B163,Merge!$A$1:$AD$29,9,FALSE())</f>
        <v>Peter Martindale</v>
      </c>
      <c r="D168" s="85" t="str">
        <f aca="false">VLOOKUP(B163,Merge!$A$1:$AD$29,25,FALSE())</f>
        <v> </v>
      </c>
      <c r="E168" s="90" t="str">
        <f aca="false">VLOOKUP($B163,Merge!$A$1:$AD$29,27,FALSE())</f>
        <v> </v>
      </c>
      <c r="F168" s="89" t="str">
        <f aca="false">VLOOKUP(B163,Merge!$A$1:$AD$29,26,FALSE())</f>
        <v> </v>
      </c>
    </row>
    <row r="169" customFormat="false" ht="14.15" hidden="false" customHeight="true" outlineLevel="0" collapsed="false">
      <c r="B169" s="88"/>
      <c r="C169" s="89"/>
      <c r="D169" s="85" t="str">
        <f aca="false">VLOOKUP(B163,Merge!$A$1:$AD$29,28,FALSE())</f>
        <v> </v>
      </c>
      <c r="E169" s="90" t="str">
        <f aca="false">VLOOKUP($B163,Merge!$A$1:$AD$29,30,FALSE())</f>
        <v> </v>
      </c>
      <c r="F169" s="89" t="str">
        <f aca="false">VLOOKUP(B163,Merge!$A$1:$AD$29,29,FALSE())</f>
        <v> </v>
      </c>
    </row>
    <row r="170" customFormat="false" ht="14.15" hidden="false" customHeight="true" outlineLevel="0" collapsed="false">
      <c r="B170" s="79" t="n">
        <f aca="false">B163+1</f>
        <v>3351</v>
      </c>
      <c r="C170" s="80" t="n">
        <f aca="false">VLOOKUP(B170,Merge!$A$1:$AC$29,2,FALSE())</f>
        <v>40894</v>
      </c>
      <c r="D170" s="81" t="s">
        <v>229</v>
      </c>
      <c r="E170" s="82" t="s">
        <v>304</v>
      </c>
      <c r="F170" s="83" t="str">
        <f aca="false">VLOOKUP(B170,Merge!$A$1:$AD$29,11,FALSE())</f>
        <v>Christmas Gifts</v>
      </c>
    </row>
    <row r="171" customFormat="false" ht="14.15" hidden="false" customHeight="true" outlineLevel="0" collapsed="false">
      <c r="B171" s="84" t="str">
        <f aca="false">VLOOKUP(B170,Merge!$A$1:$AC$29,3,FALSE())</f>
        <v>Christmas Lunch</v>
      </c>
      <c r="C171" s="84"/>
      <c r="D171" s="85" t="str">
        <f aca="false">VLOOKUP(B170,Merge!$A$1:$AD$29,13,FALSE())</f>
        <v>Peter Martindale</v>
      </c>
      <c r="E171" s="86" t="n">
        <f aca="false">VLOOKUP($B170,Merge!$A$1:$AD$29,15,FALSE())</f>
        <v>5</v>
      </c>
      <c r="F171" s="87" t="str">
        <f aca="false">VLOOKUP(B170,Merge!$A$1:$AD$29,14,FALSE())</f>
        <v>What I wanted for Christmas</v>
      </c>
    </row>
    <row r="172" customFormat="false" ht="14.15" hidden="false" customHeight="true" outlineLevel="0" collapsed="false">
      <c r="B172" s="88" t="s">
        <v>306</v>
      </c>
      <c r="C172" s="89" t="str">
        <f aca="false">VLOOKUP(B170,Merge!$A$1:$AD$29,6,FALSE())</f>
        <v>Don Stuart</v>
      </c>
      <c r="D172" s="85" t="str">
        <f aca="false">VLOOKUP(B170,Merge!$A$1:$AD$29,16,FALSE())</f>
        <v>Alistair Knight</v>
      </c>
      <c r="E172" s="86" t="n">
        <f aca="false">VLOOKUP($B170,Merge!$A$1:$AD$29,18,FALSE())</f>
        <v>5</v>
      </c>
      <c r="F172" s="87" t="str">
        <f aca="false">VLOOKUP(B170,Merge!$A$1:$AD$29,17,FALSE())</f>
        <v>What I didn't want for Christmas</v>
      </c>
    </row>
    <row r="173" customFormat="false" ht="14.15" hidden="false" customHeight="true" outlineLevel="0" collapsed="false">
      <c r="B173" s="88" t="s">
        <v>318</v>
      </c>
      <c r="C173" s="89" t="str">
        <f aca="false">VLOOKUP(B170,Merge!$A$1:$AD$29,7,FALSE())</f>
        <v>Russell Cutting</v>
      </c>
      <c r="D173" s="85" t="str">
        <f aca="false">VLOOKUP(B170,Merge!$A$1:$AD$29,19,FALSE())</f>
        <v>Viv Samuel</v>
      </c>
      <c r="E173" s="86" t="n">
        <f aca="false">VLOOKUP($B170,Merge!$A$1:$AD$29,21,FALSE())</f>
        <v>5</v>
      </c>
      <c r="F173" s="87" t="str">
        <f aca="false">VLOOKUP(B170,Merge!$A$1:$AD$29,20,FALSE())</f>
        <v>Gifts are for giving, not receiving</v>
      </c>
    </row>
    <row r="174" customFormat="false" ht="14.15" hidden="false" customHeight="true" outlineLevel="0" collapsed="false">
      <c r="B174" s="88" t="s">
        <v>308</v>
      </c>
      <c r="C174" s="89" t="str">
        <f aca="false">VLOOKUP(B170,Merge!$A$1:$AD$29,8,FALSE())</f>
        <v>Geoff Holden</v>
      </c>
      <c r="D174" s="85" t="str">
        <f aca="false">VLOOKUP(B170,Merge!$A$1:$AD$29,22,FALSE())</f>
        <v> </v>
      </c>
      <c r="E174" s="90" t="str">
        <f aca="false">VLOOKUP($B170,Merge!$A$1:$AD$29,24,FALSE())</f>
        <v> </v>
      </c>
      <c r="F174" s="89" t="str">
        <f aca="false">VLOOKUP(B170,Merge!$A$1:$AD$29,23,FALSE())</f>
        <v> </v>
      </c>
    </row>
    <row r="175" customFormat="false" ht="14.15" hidden="false" customHeight="true" outlineLevel="0" collapsed="false">
      <c r="B175" s="88" t="s">
        <v>309</v>
      </c>
      <c r="C175" s="89" t="str">
        <f aca="false">VLOOKUP(B170,Merge!$A$1:$AD$29,9,FALSE())</f>
        <v>David Phillips</v>
      </c>
      <c r="D175" s="85" t="str">
        <f aca="false">VLOOKUP(B170,Merge!$A$1:$AD$29,25,FALSE())</f>
        <v> </v>
      </c>
      <c r="E175" s="90" t="str">
        <f aca="false">VLOOKUP($B170,Merge!$A$1:$AD$29,27,FALSE())</f>
        <v> </v>
      </c>
      <c r="F175" s="89" t="str">
        <f aca="false">VLOOKUP(B170,Merge!$A$1:$AD$29,26,FALSE())</f>
        <v> </v>
      </c>
    </row>
    <row r="176" customFormat="false" ht="14.15" hidden="false" customHeight="true" outlineLevel="0" collapsed="false">
      <c r="B176" s="88"/>
      <c r="C176" s="89"/>
      <c r="D176" s="85" t="str">
        <f aca="false">VLOOKUP(B170,Merge!$A$1:$AD$29,28,FALSE())</f>
        <v> </v>
      </c>
      <c r="E176" s="90" t="str">
        <f aca="false">VLOOKUP($B170,Merge!$A$1:$AD$29,30,FALSE())</f>
        <v> </v>
      </c>
      <c r="F176" s="89" t="str">
        <f aca="false">VLOOKUP(B170,Merge!$A$1:$AD$29,29,FALSE())</f>
        <v> </v>
      </c>
    </row>
    <row r="177" customFormat="false" ht="14.15" hidden="false" customHeight="true" outlineLevel="0" collapsed="false">
      <c r="B177" s="79" t="n">
        <f aca="false">B170+1</f>
        <v>3352</v>
      </c>
      <c r="C177" s="80" t="n">
        <f aca="false">VLOOKUP(B177,Merge!$A$1:$AC$29,2,FALSE())</f>
        <v>40922</v>
      </c>
      <c r="D177" s="81" t="s">
        <v>229</v>
      </c>
      <c r="E177" s="82" t="s">
        <v>304</v>
      </c>
      <c r="F177" s="83" t="str">
        <f aca="false">VLOOKUP(B177,Merge!$A$1:$AD$29,11,FALSE())</f>
        <v>In</v>
      </c>
    </row>
    <row r="178" customFormat="false" ht="14.15" hidden="false" customHeight="true" outlineLevel="0" collapsed="false">
      <c r="B178" s="84" t="str">
        <f aca="false">VLOOKUP(B177,Merge!$A$1:$AC$29,3,FALSE())</f>
        <v>Normal Meeting</v>
      </c>
      <c r="C178" s="84"/>
      <c r="D178" s="85" t="str">
        <f aca="false">VLOOKUP(B177,Merge!$A$1:$AD$29,13,FALSE())</f>
        <v>Kym Beverley</v>
      </c>
      <c r="E178" s="86" t="n">
        <f aca="false">VLOOKUP($B177,Merge!$A$1:$AD$29,15,FALSE())</f>
        <v>4</v>
      </c>
      <c r="F178" s="87" t="str">
        <f aca="false">VLOOKUP(B177,Merge!$A$1:$AD$29,14,FALSE())</f>
        <v>In the Pink</v>
      </c>
    </row>
    <row r="179" customFormat="false" ht="14.15" hidden="false" customHeight="true" outlineLevel="0" collapsed="false">
      <c r="B179" s="88" t="s">
        <v>306</v>
      </c>
      <c r="C179" s="89" t="str">
        <f aca="false">VLOOKUP(B177,Merge!$A$1:$AD$29,6,FALSE())</f>
        <v>TBA</v>
      </c>
      <c r="D179" s="85" t="str">
        <f aca="false">VLOOKUP(B177,Merge!$A$1:$AD$29,16,FALSE())</f>
        <v>Don Stuart</v>
      </c>
      <c r="E179" s="86" t="n">
        <f aca="false">VLOOKUP($B177,Merge!$A$1:$AD$29,18,FALSE())</f>
        <v>4</v>
      </c>
      <c r="F179" s="87" t="str">
        <f aca="false">VLOOKUP(B177,Merge!$A$1:$AD$29,17,FALSE())</f>
        <v>In the Swim</v>
      </c>
    </row>
    <row r="180" customFormat="false" ht="14.15" hidden="false" customHeight="true" outlineLevel="0" collapsed="false">
      <c r="B180" s="88" t="s">
        <v>318</v>
      </c>
      <c r="C180" s="89" t="str">
        <f aca="false">VLOOKUP(B177,Merge!$A$1:$AD$29,7,FALSE())</f>
        <v>Barry Grear</v>
      </c>
      <c r="D180" s="85" t="str">
        <f aca="false">VLOOKUP(B177,Merge!$A$1:$AD$29,19,FALSE())</f>
        <v>Russell Cutting</v>
      </c>
      <c r="E180" s="86" t="n">
        <f aca="false">VLOOKUP($B177,Merge!$A$1:$AD$29,21,FALSE())</f>
        <v>4</v>
      </c>
      <c r="F180" s="87" t="str">
        <f aca="false">VLOOKUP(B177,Merge!$A$1:$AD$29,20,FALSE())</f>
        <v>In the Club</v>
      </c>
    </row>
    <row r="181" customFormat="false" ht="14.15" hidden="false" customHeight="true" outlineLevel="0" collapsed="false">
      <c r="B181" s="88" t="s">
        <v>308</v>
      </c>
      <c r="C181" s="89" t="str">
        <f aca="false">VLOOKUP(B177,Merge!$A$1:$AD$29,8,FALSE())</f>
        <v>Young-Il Kim</v>
      </c>
      <c r="D181" s="85" t="str">
        <f aca="false">VLOOKUP(B177,Merge!$A$1:$AD$29,22,FALSE())</f>
        <v>Mark Williams</v>
      </c>
      <c r="E181" s="90" t="n">
        <f aca="false">VLOOKUP($B177,Merge!$A$1:$AD$29,24,FALSE())</f>
        <v>4</v>
      </c>
      <c r="F181" s="89" t="str">
        <f aca="false">VLOOKUP(B177,Merge!$A$1:$AD$29,23,FALSE())</f>
        <v>In For It</v>
      </c>
    </row>
    <row r="182" customFormat="false" ht="14.15" hidden="false" customHeight="true" outlineLevel="0" collapsed="false">
      <c r="B182" s="88" t="s">
        <v>309</v>
      </c>
      <c r="C182" s="89" t="str">
        <f aca="false">VLOOKUP(B177,Merge!$A$1:$AD$29,9,FALSE())</f>
        <v>Rolf Prager</v>
      </c>
      <c r="D182" s="85" t="str">
        <f aca="false">VLOOKUP(B177,Merge!$A$1:$AD$29,25,FALSE())</f>
        <v>Richard Smith</v>
      </c>
      <c r="E182" s="90" t="n">
        <f aca="false">VLOOKUP($B177,Merge!$A$1:$AD$29,27,FALSE())</f>
        <v>4</v>
      </c>
      <c r="F182" s="89" t="str">
        <f aca="false">VLOOKUP(B177,Merge!$A$1:$AD$29,26,FALSE())</f>
        <v>In-Jokes</v>
      </c>
    </row>
    <row r="183" customFormat="false" ht="14.15" hidden="false" customHeight="true" outlineLevel="0" collapsed="false">
      <c r="B183" s="88"/>
      <c r="C183" s="89"/>
      <c r="D183" s="85" t="str">
        <f aca="false">VLOOKUP(B177,Merge!$A$1:$AD$29,28,FALSE())</f>
        <v> </v>
      </c>
      <c r="E183" s="90" t="str">
        <f aca="false">VLOOKUP($B177,Merge!$A$1:$AD$29,30,FALSE())</f>
        <v> </v>
      </c>
      <c r="F183" s="89" t="str">
        <f aca="false">VLOOKUP(B177,Merge!$A$1:$AD$29,29,FALSE())</f>
        <v> </v>
      </c>
    </row>
    <row r="184" customFormat="false" ht="14.15" hidden="false" customHeight="true" outlineLevel="0" collapsed="false">
      <c r="B184" s="79" t="n">
        <f aca="false">B177+1</f>
        <v>3353</v>
      </c>
      <c r="C184" s="80" t="n">
        <f aca="false">VLOOKUP(B184,Merge!$A$1:$AC$29,2,FALSE())</f>
        <v>40929</v>
      </c>
      <c r="D184" s="81" t="s">
        <v>229</v>
      </c>
      <c r="E184" s="82" t="s">
        <v>304</v>
      </c>
      <c r="F184" s="83" t="str">
        <f aca="false">VLOOKUP(B184,Merge!$A$1:$AD$29,11,FALSE())</f>
        <v>Out</v>
      </c>
    </row>
    <row r="185" customFormat="false" ht="14.15" hidden="false" customHeight="true" outlineLevel="0" collapsed="false">
      <c r="B185" s="84" t="str">
        <f aca="false">VLOOKUP(B184,Merge!$A$1:$AC$29,3,FALSE())</f>
        <v>Normal Meeting</v>
      </c>
      <c r="C185" s="84"/>
      <c r="D185" s="85" t="str">
        <f aca="false">VLOOKUP(B184,Merge!$A$1:$AD$29,13,FALSE())</f>
        <v>Terry Anderson</v>
      </c>
      <c r="E185" s="86" t="n">
        <f aca="false">VLOOKUP($B184,Merge!$A$1:$AD$29,15,FALSE())</f>
        <v>5</v>
      </c>
      <c r="F185" s="87" t="str">
        <f aca="false">VLOOKUP(B184,Merge!$A$1:$AD$29,14,FALSE())</f>
        <v>Out of the Way</v>
      </c>
    </row>
    <row r="186" customFormat="false" ht="14.15" hidden="false" customHeight="true" outlineLevel="0" collapsed="false">
      <c r="B186" s="88" t="s">
        <v>306</v>
      </c>
      <c r="C186" s="89" t="str">
        <f aca="false">VLOOKUP(B184,Merge!$A$1:$AD$29,6,FALSE())</f>
        <v>TBA</v>
      </c>
      <c r="D186" s="85" t="str">
        <f aca="false">VLOOKUP(B184,Merge!$A$1:$AD$29,16,FALSE())</f>
        <v>Barry Grear</v>
      </c>
      <c r="E186" s="86" t="n">
        <f aca="false">VLOOKUP($B184,Merge!$A$1:$AD$29,18,FALSE())</f>
        <v>5</v>
      </c>
      <c r="F186" s="87" t="str">
        <f aca="false">VLOOKUP(B184,Merge!$A$1:$AD$29,17,FALSE())</f>
        <v>Out and About</v>
      </c>
    </row>
    <row r="187" customFormat="false" ht="14.15" hidden="false" customHeight="true" outlineLevel="0" collapsed="false">
      <c r="B187" s="88" t="s">
        <v>318</v>
      </c>
      <c r="C187" s="89" t="str">
        <f aca="false">VLOOKUP(B184,Merge!$A$1:$AD$29,7,FALSE())</f>
        <v>Martin Lambert</v>
      </c>
      <c r="D187" s="85" t="str">
        <f aca="false">VLOOKUP(B184,Merge!$A$1:$AD$29,19,FALSE())</f>
        <v>Chao-Shui Xu</v>
      </c>
      <c r="E187" s="86" t="n">
        <f aca="false">VLOOKUP($B184,Merge!$A$1:$AD$29,21,FALSE())</f>
        <v>5</v>
      </c>
      <c r="F187" s="87" t="str">
        <f aca="false">VLOOKUP(B184,Merge!$A$1:$AD$29,20,FALSE())</f>
        <v>Out of Character</v>
      </c>
    </row>
    <row r="188" customFormat="false" ht="14.15" hidden="false" customHeight="true" outlineLevel="0" collapsed="false">
      <c r="B188" s="88" t="s">
        <v>308</v>
      </c>
      <c r="C188" s="89" t="str">
        <f aca="false">VLOOKUP(B184,Merge!$A$1:$AD$29,8,FALSE())</f>
        <v>David Knight</v>
      </c>
      <c r="D188" s="85" t="str">
        <f aca="false">VLOOKUP(B184,Merge!$A$1:$AD$29,22,FALSE())</f>
        <v>Jim Stewart</v>
      </c>
      <c r="E188" s="90" t="n">
        <f aca="false">VLOOKUP($B184,Merge!$A$1:$AD$29,24,FALSE())</f>
        <v>5</v>
      </c>
      <c r="F188" s="89" t="str">
        <f aca="false">VLOOKUP(B184,Merge!$A$1:$AD$29,23,FALSE())</f>
        <v>Out of This World</v>
      </c>
    </row>
    <row r="189" customFormat="false" ht="14.15" hidden="false" customHeight="true" outlineLevel="0" collapsed="false">
      <c r="B189" s="88" t="s">
        <v>309</v>
      </c>
      <c r="C189" s="89" t="str">
        <f aca="false">VLOOKUP(B184,Merge!$A$1:$AD$29,9,FALSE())</f>
        <v>Viv Samuel</v>
      </c>
      <c r="D189" s="85" t="str">
        <f aca="false">VLOOKUP(B184,Merge!$A$1:$AD$29,25,FALSE())</f>
        <v> </v>
      </c>
      <c r="E189" s="90" t="str">
        <f aca="false">VLOOKUP($B184,Merge!$A$1:$AD$29,27,FALSE())</f>
        <v> </v>
      </c>
      <c r="F189" s="89" t="str">
        <f aca="false">VLOOKUP(B184,Merge!$A$1:$AD$29,26,FALSE())</f>
        <v> </v>
      </c>
    </row>
    <row r="190" customFormat="false" ht="14.15" hidden="false" customHeight="true" outlineLevel="0" collapsed="false">
      <c r="B190" s="88"/>
      <c r="C190" s="89"/>
      <c r="D190" s="85" t="str">
        <f aca="false">VLOOKUP(B184,Merge!$A$1:$AD$29,28,FALSE())</f>
        <v> </v>
      </c>
      <c r="E190" s="90" t="str">
        <f aca="false">VLOOKUP($B184,Merge!$A$1:$AD$29,30,FALSE())</f>
        <v> </v>
      </c>
      <c r="F190" s="89" t="str">
        <f aca="false">VLOOKUP(B184,Merge!$A$1:$AD$29,29,FALSE())</f>
        <v> </v>
      </c>
    </row>
    <row r="191" customFormat="false" ht="14.15" hidden="false" customHeight="true" outlineLevel="0" collapsed="false">
      <c r="B191" s="79" t="n">
        <f aca="false">B184+1</f>
        <v>3354</v>
      </c>
      <c r="C191" s="80" t="e">
        <f aca="false">VLOOKUP(B191,Merge!$A$1:$AC$29,2,FALSE())</f>
        <v>#N/A</v>
      </c>
      <c r="D191" s="81" t="s">
        <v>229</v>
      </c>
      <c r="E191" s="82" t="s">
        <v>304</v>
      </c>
      <c r="F191" s="83" t="e">
        <f aca="false">VLOOKUP(B191,Merge!$A$1:$AD$29,11,FALSE())</f>
        <v>#N/A</v>
      </c>
    </row>
    <row r="192" customFormat="false" ht="14.15" hidden="false" customHeight="true" outlineLevel="0" collapsed="false">
      <c r="B192" s="84" t="e">
        <f aca="false">VLOOKUP(B191,Merge!$A$1:$AC$29,3,FALSE())</f>
        <v>#N/A</v>
      </c>
      <c r="C192" s="84"/>
      <c r="D192" s="85" t="e">
        <f aca="false">VLOOKUP(B191,Merge!$A$1:$AD$29,13,FALSE())</f>
        <v>#N/A</v>
      </c>
      <c r="E192" s="86" t="e">
        <f aca="false">VLOOKUP($B191,Merge!$A$1:$AD$29,15,FALSE())</f>
        <v>#N/A</v>
      </c>
      <c r="F192" s="87" t="e">
        <f aca="false">VLOOKUP(B191,Merge!$A$1:$AD$29,14,FALSE())</f>
        <v>#N/A</v>
      </c>
    </row>
    <row r="193" customFormat="false" ht="14.15" hidden="false" customHeight="true" outlineLevel="0" collapsed="false">
      <c r="B193" s="88" t="s">
        <v>306</v>
      </c>
      <c r="C193" s="89" t="e">
        <f aca="false">VLOOKUP(B191,Merge!$A$1:$AD$29,6,FALSE())</f>
        <v>#N/A</v>
      </c>
      <c r="D193" s="85" t="e">
        <f aca="false">VLOOKUP(B191,Merge!$A$1:$AD$29,16,FALSE())</f>
        <v>#N/A</v>
      </c>
      <c r="E193" s="86" t="e">
        <f aca="false">VLOOKUP($B191,Merge!$A$1:$AD$29,18,FALSE())</f>
        <v>#N/A</v>
      </c>
      <c r="F193" s="87" t="e">
        <f aca="false">VLOOKUP(B191,Merge!$A$1:$AD$29,17,FALSE())</f>
        <v>#N/A</v>
      </c>
    </row>
    <row r="194" customFormat="false" ht="14.15" hidden="false" customHeight="true" outlineLevel="0" collapsed="false">
      <c r="B194" s="88" t="s">
        <v>318</v>
      </c>
      <c r="C194" s="89" t="e">
        <f aca="false">VLOOKUP(B191,Merge!$A$1:$AD$29,7,FALSE())</f>
        <v>#N/A</v>
      </c>
      <c r="D194" s="85" t="e">
        <f aca="false">VLOOKUP(B191,Merge!$A$1:$AD$29,19,FALSE())</f>
        <v>#N/A</v>
      </c>
      <c r="E194" s="86" t="e">
        <f aca="false">VLOOKUP($B191,Merge!$A$1:$AD$29,21,FALSE())</f>
        <v>#N/A</v>
      </c>
      <c r="F194" s="87" t="e">
        <f aca="false">VLOOKUP(B191,Merge!$A$1:$AD$29,20,FALSE())</f>
        <v>#N/A</v>
      </c>
    </row>
    <row r="195" customFormat="false" ht="14.15" hidden="false" customHeight="true" outlineLevel="0" collapsed="false">
      <c r="B195" s="88" t="s">
        <v>308</v>
      </c>
      <c r="C195" s="89" t="e">
        <f aca="false">VLOOKUP(B191,Merge!$A$1:$AD$29,8,FALSE())</f>
        <v>#N/A</v>
      </c>
      <c r="D195" s="85" t="e">
        <f aca="false">VLOOKUP(B191,Merge!$A$1:$AD$29,22,FALSE())</f>
        <v>#N/A</v>
      </c>
      <c r="E195" s="90" t="e">
        <f aca="false">VLOOKUP($B191,Merge!$A$1:$AD$29,24,FALSE())</f>
        <v>#N/A</v>
      </c>
      <c r="F195" s="89" t="e">
        <f aca="false">VLOOKUP(B191,Merge!$A$1:$AD$29,23,FALSE())</f>
        <v>#N/A</v>
      </c>
    </row>
    <row r="196" customFormat="false" ht="14.15" hidden="false" customHeight="true" outlineLevel="0" collapsed="false">
      <c r="B196" s="88" t="s">
        <v>309</v>
      </c>
      <c r="C196" s="89" t="e">
        <f aca="false">VLOOKUP(B191,Merge!$A$1:$AD$29,9,FALSE())</f>
        <v>#N/A</v>
      </c>
      <c r="D196" s="85" t="e">
        <f aca="false">VLOOKUP(B191,Merge!$A$1:$AD$29,25,FALSE())</f>
        <v>#N/A</v>
      </c>
      <c r="E196" s="90" t="e">
        <f aca="false">VLOOKUP($B191,Merge!$A$1:$AD$29,27,FALSE())</f>
        <v>#N/A</v>
      </c>
      <c r="F196" s="89" t="e">
        <f aca="false">VLOOKUP(B191,Merge!$A$1:$AD$29,26,FALSE())</f>
        <v>#N/A</v>
      </c>
    </row>
    <row r="197" customFormat="false" ht="14.15" hidden="false" customHeight="true" outlineLevel="0" collapsed="false">
      <c r="B197" s="88"/>
      <c r="C197" s="89"/>
      <c r="D197" s="85" t="e">
        <f aca="false">VLOOKUP(B191,Merge!$A$1:$AD$29,28,FALSE())</f>
        <v>#N/A</v>
      </c>
      <c r="E197" s="90" t="e">
        <f aca="false">VLOOKUP($B191,Merge!$A$1:$AD$29,30,FALSE())</f>
        <v>#N/A</v>
      </c>
      <c r="F197" s="89" t="e">
        <f aca="false">VLOOKUP(B191,Merge!$A$1:$AD$29,29,FALSE())</f>
        <v>#N/A</v>
      </c>
    </row>
  </sheetData>
  <mergeCells count="29">
    <mergeCell ref="A1:G1"/>
    <mergeCell ref="B3:C3"/>
    <mergeCell ref="B10:C10"/>
    <mergeCell ref="B17:C17"/>
    <mergeCell ref="B24:C24"/>
    <mergeCell ref="B31:C31"/>
    <mergeCell ref="B38:C38"/>
    <mergeCell ref="B45:C45"/>
    <mergeCell ref="B52:C52"/>
    <mergeCell ref="B59:C59"/>
    <mergeCell ref="B66:C66"/>
    <mergeCell ref="B73:C73"/>
    <mergeCell ref="B80:C80"/>
    <mergeCell ref="B87:C87"/>
    <mergeCell ref="B94:C94"/>
    <mergeCell ref="B101:C101"/>
    <mergeCell ref="B108:C108"/>
    <mergeCell ref="B115:C115"/>
    <mergeCell ref="B122:C122"/>
    <mergeCell ref="B129:C129"/>
    <mergeCell ref="B136:C136"/>
    <mergeCell ref="B143:C143"/>
    <mergeCell ref="B150:C150"/>
    <mergeCell ref="B157:C157"/>
    <mergeCell ref="B164:C164"/>
    <mergeCell ref="B171:C171"/>
    <mergeCell ref="B178:C178"/>
    <mergeCell ref="B185:C185"/>
    <mergeCell ref="B192:C192"/>
  </mergeCells>
  <hyperlinks>
    <hyperlink ref="A1" r:id="rId1" display="Rostrum Club 3 Speech Programme, July-December 2015 (barry.dwyer@me.com, 0400 285 260)"/>
  </hyperlinks>
  <printOptions headings="false" gridLines="false" gridLinesSet="true" horizontalCentered="false" verticalCentered="false"/>
  <pageMargins left="0.196527777777778" right="0.196527777777778" top="0.315277777777778" bottom="0.198611111111111" header="0.511805555555555" footer="0.511805555555555"/>
  <pageSetup paperSize="9" scale="100" firstPageNumber="0" fitToWidth="1" fitToHeight="9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&amp;CPage &amp;P of &amp;N</oddFooter>
  </headerFooter>
  <rowBreaks count="3" manualBreakCount="3">
    <brk id="56" man="true" max="16383" min="0"/>
    <brk id="57" man="true" max="16383" min="0"/>
    <brk id="140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E65536"/>
  <sheetViews>
    <sheetView windowProtection="false" showFormulas="false" showGridLines="true" showRowColHeaders="true" showZeros="true" rightToLeft="false" tabSelected="false" showOutlineSymbols="true" defaultGridColor="true" view="normal" topLeftCell="D1" colorId="64" zoomScale="65" zoomScaleNormal="65" zoomScalePageLayoutView="100" workbookViewId="0">
      <selection pane="topLeft" activeCell="J2" activeCellId="0" sqref="J2"/>
    </sheetView>
  </sheetViews>
  <sheetFormatPr defaultRowHeight="15.75"/>
  <cols>
    <col collapsed="false" hidden="false" max="1" min="1" style="91" width="8.5962962962963"/>
    <col collapsed="false" hidden="false" max="2" min="2" style="91" width="9.8962962962963"/>
    <col collapsed="false" hidden="false" max="257" min="3" style="91" width="8.5962962962963"/>
    <col collapsed="false" hidden="false" max="1025" min="258" style="0" width="8.5962962962963"/>
  </cols>
  <sheetData>
    <row r="1" customFormat="false" ht="16.35" hidden="false" customHeight="true" outlineLevel="0" collapsed="false">
      <c r="A1" s="92" t="s">
        <v>5</v>
      </c>
      <c r="B1" s="93" t="s">
        <v>6</v>
      </c>
      <c r="C1" s="92" t="s">
        <v>200</v>
      </c>
      <c r="D1" s="92" t="s">
        <v>202</v>
      </c>
      <c r="E1" s="92" t="s">
        <v>203</v>
      </c>
      <c r="F1" s="92" t="s">
        <v>214</v>
      </c>
      <c r="G1" s="92" t="s">
        <v>319</v>
      </c>
      <c r="H1" s="92" t="s">
        <v>221</v>
      </c>
      <c r="I1" s="92" t="s">
        <v>226</v>
      </c>
      <c r="J1" s="92" t="s">
        <v>320</v>
      </c>
      <c r="K1" s="92" t="s">
        <v>49</v>
      </c>
      <c r="L1" s="94" t="s">
        <v>321</v>
      </c>
      <c r="M1" s="92" t="s">
        <v>322</v>
      </c>
      <c r="N1" s="92" t="s">
        <v>50</v>
      </c>
      <c r="O1" s="95" t="s">
        <v>323</v>
      </c>
      <c r="P1" s="92" t="s">
        <v>324</v>
      </c>
      <c r="Q1" s="92" t="s">
        <v>51</v>
      </c>
      <c r="R1" s="95" t="s">
        <v>325</v>
      </c>
      <c r="S1" s="92" t="s">
        <v>326</v>
      </c>
      <c r="T1" s="92" t="s">
        <v>52</v>
      </c>
      <c r="U1" s="95" t="s">
        <v>327</v>
      </c>
      <c r="V1" s="92" t="s">
        <v>328</v>
      </c>
      <c r="W1" s="92" t="s">
        <v>53</v>
      </c>
      <c r="X1" s="95" t="s">
        <v>329</v>
      </c>
      <c r="Y1" s="92" t="s">
        <v>330</v>
      </c>
      <c r="Z1" s="92" t="s">
        <v>54</v>
      </c>
      <c r="AA1" s="95" t="s">
        <v>331</v>
      </c>
      <c r="AB1" s="92" t="s">
        <v>332</v>
      </c>
      <c r="AC1" s="92" t="s">
        <v>55</v>
      </c>
      <c r="AD1" s="95" t="s">
        <v>333</v>
      </c>
      <c r="AE1" s="0"/>
    </row>
    <row r="2" customFormat="false" ht="17.25" hidden="false" customHeight="true" outlineLevel="0" collapsed="false">
      <c r="A2" s="96" t="n">
        <f aca="false">Master!A3</f>
        <v>3326</v>
      </c>
      <c r="B2" s="97" t="n">
        <f aca="false">Master!B3</f>
        <v>40719</v>
      </c>
      <c r="C2" s="98" t="str">
        <f aca="false">VLOOKUP(Master!BH3,Master!BH$35:BI$45,2,FALSE())</f>
        <v>Normal Meeting</v>
      </c>
      <c r="D2" s="98" t="str">
        <f aca="false">VLOOKUP(Master!BH3,Master!BH$35:BK$45,4,FALSE())</f>
        <v> </v>
      </c>
      <c r="E2" s="98" t="str">
        <f aca="false">VLOOKUP(Master!BH3,Master!BH$35:BL$45,5,FALSE())</f>
        <v> </v>
      </c>
      <c r="F2" s="98" t="str">
        <f aca="false">INDEX(Master!$C$2:$BL$2,1,MATCH("X",Master!$C3:$BL3,0))</f>
        <v>Don Stuart</v>
      </c>
      <c r="G2" s="98" t="str">
        <f aca="false">INDEX(Master!$C$2:$BL$2,1,MATCH("C",Master!$C3:$BL3,0))</f>
        <v>Bill Stacy</v>
      </c>
      <c r="H2" s="98" t="str">
        <f aca="false">INDEX(Master!$C$2:$BL$2,1,MATCH("M",Master!$C3:$BL3,0))</f>
        <v>Viv Samuel</v>
      </c>
      <c r="I2" s="98" t="str">
        <f aca="false">INDEX(Master!$C$2:$BL$2,1,MATCH("W",Master!$C3:$BL3,0))</f>
        <v>Geoff Holden</v>
      </c>
      <c r="J2" s="98" t="e">
        <f aca="false">INDEX(Master!$C$2:$BL$2,1,MATCH("M",Master!$C2:$BL2,0))</f>
        <v>#N/A</v>
      </c>
      <c r="K2" s="98" t="str">
        <f aca="false">Master!BI3</f>
        <v>The Oceans</v>
      </c>
      <c r="L2" s="99" t="n">
        <f aca="false">TIME(13,44-Master!BG3,0)</f>
        <v>0.557638888888889</v>
      </c>
      <c r="M2" s="98" t="str">
        <f aca="false">INDEX(Master!$C$2:$AT$2,1,MATCH(1,Master!$C3:$AT3,0))</f>
        <v>Russell Cutting</v>
      </c>
      <c r="N2" s="100" t="str">
        <f aca="false">IF(Master!BJ3=0," ",Master!BJ3)</f>
        <v>Sharks</v>
      </c>
      <c r="O2" s="101" t="n">
        <f aca="false">IF(Master!BA3=0," ",Master!BA3)</f>
        <v>6</v>
      </c>
      <c r="P2" s="98" t="str">
        <f aca="false">INDEX(Master!$C$2:$AT$2,1,MATCH(2,Master!$C3:$AT3,0))</f>
        <v>Barry Dwyer</v>
      </c>
      <c r="Q2" s="100" t="str">
        <f aca="false">IF(Master!BK3=0," ",Master!BK3)</f>
        <v>Whales</v>
      </c>
      <c r="R2" s="101" t="n">
        <f aca="false">IF(Master!BB3=0," ",Master!BB3)</f>
        <v>6</v>
      </c>
      <c r="S2" s="98" t="str">
        <f aca="false">INDEX(Master!$C$2:$AT$2,1,MATCH(3,Master!$C3:$AT3,0))</f>
        <v>Barry Grear</v>
      </c>
      <c r="T2" s="100" t="str">
        <f aca="false">IF(Master!BL3=0," ",Master!BL3)</f>
        <v>Pollution</v>
      </c>
      <c r="U2" s="101" t="n">
        <f aca="false">IF(Master!BC3=0," ",Master!BC3)</f>
        <v>6</v>
      </c>
      <c r="V2" s="98" t="str">
        <f aca="false">INDEX(Master!$C$2:$AT$2,1,MATCH(4,Master!$C3:$AT3,0))</f>
        <v> </v>
      </c>
      <c r="W2" s="100" t="str">
        <f aca="false">IF(Master!BM3=0," ",Master!BM3)</f>
        <v> </v>
      </c>
      <c r="X2" s="101" t="str">
        <f aca="false">IF(Master!BD3=0," ",Master!BD3)</f>
        <v> </v>
      </c>
      <c r="Y2" s="98" t="str">
        <f aca="false">INDEX(Master!$C$2:$AT$2,1,MATCH(5,Master!$C3:$AT3,0))</f>
        <v> </v>
      </c>
      <c r="Z2" s="100" t="str">
        <f aca="false">IF(Master!BN3=0," ",Master!BN3)</f>
        <v> </v>
      </c>
      <c r="AA2" s="101" t="str">
        <f aca="false">IF(Master!BE3=0," ",Master!BE3)</f>
        <v> </v>
      </c>
      <c r="AB2" s="98" t="str">
        <f aca="false">INDEX(Master!$C$2:$AT$2,1,MATCH(6,Master!$C3:$AT3,0))</f>
        <v> </v>
      </c>
      <c r="AC2" s="100" t="str">
        <f aca="false">IF(Master!BO3=0," ",Master!BO3)</f>
        <v> </v>
      </c>
      <c r="AD2" s="101" t="str">
        <f aca="false">IF(Master!BF3=0," ",Master!BF3)</f>
        <v> </v>
      </c>
      <c r="AE2" s="0"/>
    </row>
    <row r="3" customFormat="false" ht="17.25" hidden="false" customHeight="true" outlineLevel="0" collapsed="false">
      <c r="A3" s="96" t="n">
        <f aca="false">Master!A4</f>
        <v>3327</v>
      </c>
      <c r="B3" s="97" t="n">
        <f aca="false">Master!B4</f>
        <v>40726</v>
      </c>
      <c r="C3" s="98" t="str">
        <f aca="false">VLOOKUP(Master!BH4,Master!BH$35:BI$45,2,FALSE())</f>
        <v>Handover Day</v>
      </c>
      <c r="D3" s="98" t="str">
        <f aca="false">VLOOKUP(Master!BH4,Master!BH$35:BK$45,4,FALSE())</f>
        <v>Hand Over Duties</v>
      </c>
      <c r="E3" s="98" t="str">
        <f aca="false">VLOOKUP(Master!BH4,Master!BH$35:BL$45,5,FALSE())</f>
        <v> </v>
      </c>
      <c r="F3" s="98" t="str">
        <f aca="false">INDEX(Master!$C$2:$BL$2,1,MATCH("X",Master!$C4:$BL4,0))</f>
        <v>Don Stuart</v>
      </c>
      <c r="G3" s="98" t="str">
        <f aca="false">INDEX(Master!$C$2:$BL$2,1,MATCH("C",Master!$C4:$BL4,0))</f>
        <v>Bill Stacy</v>
      </c>
      <c r="H3" s="98" t="str">
        <f aca="false">INDEX(Master!$C$2:$BL$2,1,MATCH("M",Master!$C4:$BL4,0))</f>
        <v>Barry Dwyer</v>
      </c>
      <c r="I3" s="98" t="str">
        <f aca="false">INDEX(Master!$C$2:$BL$2,1,MATCH("W",Master!$C4:$BL4,0))</f>
        <v>Geoff Holden</v>
      </c>
      <c r="J3" s="98" t="str">
        <f aca="false">INDEX(Master!$C$2:$BL$2,1,MATCH("M",Master!$C3:$BL3,0))</f>
        <v>Viv Samuel</v>
      </c>
      <c r="K3" s="98" t="str">
        <f aca="false">Master!BI4</f>
        <v>The Oceans</v>
      </c>
      <c r="L3" s="99" t="n">
        <f aca="false">TIME(13,44-Master!BG4,0)</f>
        <v>0.557638888888889</v>
      </c>
      <c r="M3" s="98" t="str">
        <f aca="false">INDEX(Master!$C$2:$AT$2,1,MATCH(1,Master!$C4:$AT4,0))</f>
        <v>Russell Cutting</v>
      </c>
      <c r="N3" s="100" t="str">
        <f aca="false">IF(Master!BJ4=0," ",Master!BJ4)</f>
        <v>Sharks</v>
      </c>
      <c r="O3" s="101" t="n">
        <f aca="false">IF(Master!BA4=0," ",Master!BA4)</f>
        <v>6</v>
      </c>
      <c r="P3" s="98" t="str">
        <f aca="false">INDEX(Master!$C$2:$AT$2,1,MATCH(2,Master!$C4:$AT4,0))</f>
        <v>Viv Samuel</v>
      </c>
      <c r="Q3" s="100" t="str">
        <f aca="false">IF(Master!BK4=0," ",Master!BK4)</f>
        <v>Whales</v>
      </c>
      <c r="R3" s="101" t="n">
        <f aca="false">IF(Master!BB4=0," ",Master!BB4)</f>
        <v>6</v>
      </c>
      <c r="S3" s="98" t="str">
        <f aca="false">INDEX(Master!$C$2:$AT$2,1,MATCH(3,Master!$C4:$AT4,0))</f>
        <v>Barry Grear</v>
      </c>
      <c r="T3" s="100" t="str">
        <f aca="false">IF(Master!BL4=0," ",Master!BL4)</f>
        <v>Pollution</v>
      </c>
      <c r="U3" s="101" t="n">
        <f aca="false">IF(Master!BC4=0," ",Master!BC4)</f>
        <v>6</v>
      </c>
      <c r="V3" s="98" t="str">
        <f aca="false">INDEX(Master!$C$2:$AT$2,1,MATCH(4,Master!$C4:$AT4,0))</f>
        <v> </v>
      </c>
      <c r="W3" s="100" t="str">
        <f aca="false">IF(Master!BM4=0," ",Master!BM4)</f>
        <v> </v>
      </c>
      <c r="X3" s="101" t="str">
        <f aca="false">IF(Master!BD4=0," ",Master!BD4)</f>
        <v> </v>
      </c>
      <c r="Y3" s="98" t="str">
        <f aca="false">INDEX(Master!$C$2:$AT$2,1,MATCH(5,Master!$C4:$AT4,0))</f>
        <v> </v>
      </c>
      <c r="Z3" s="100" t="str">
        <f aca="false">IF(Master!BN4=0," ",Master!BN4)</f>
        <v> </v>
      </c>
      <c r="AA3" s="101" t="str">
        <f aca="false">IF(Master!BE4=0," ",Master!BE4)</f>
        <v> </v>
      </c>
      <c r="AB3" s="98" t="str">
        <f aca="false">INDEX(Master!$C$2:$AT$2,1,MATCH(6,Master!$C4:$AT4,0))</f>
        <v> </v>
      </c>
      <c r="AC3" s="100" t="str">
        <f aca="false">IF(Master!BO4=0," ",Master!BO4)</f>
        <v> </v>
      </c>
      <c r="AD3" s="101" t="str">
        <f aca="false">IF(Master!BF4=0," ",Master!BF4)</f>
        <v> </v>
      </c>
      <c r="AE3" s="0"/>
    </row>
    <row r="4" customFormat="false" ht="17.25" hidden="false" customHeight="true" outlineLevel="0" collapsed="false">
      <c r="A4" s="96" t="n">
        <f aca="false">Master!A5</f>
        <v>3328</v>
      </c>
      <c r="B4" s="97" t="n">
        <f aca="false">Master!B5</f>
        <v>40733</v>
      </c>
      <c r="C4" s="98" t="str">
        <f aca="false">VLOOKUP(Master!BH5,Master!BH$35:BI$45,2,FALSE())</f>
        <v>Normal Meeting</v>
      </c>
      <c r="D4" s="98" t="str">
        <f aca="false">VLOOKUP(Master!BH5,Master!BH$35:BK$45,4,FALSE())</f>
        <v> </v>
      </c>
      <c r="E4" s="98" t="str">
        <f aca="false">VLOOKUP(Master!BH5,Master!BH$35:BL$45,5,FALSE())</f>
        <v> </v>
      </c>
      <c r="F4" s="98" t="str">
        <f aca="false">INDEX(Master!$C$2:$BL$2,1,MATCH("X",Master!$C5:$BL5,0))</f>
        <v>Don Stuart</v>
      </c>
      <c r="G4" s="98" t="str">
        <f aca="false">INDEX(Master!$C$2:$BL$2,1,MATCH("C",Master!$C5:$BL5,0))</f>
        <v>Terry Anderson</v>
      </c>
      <c r="H4" s="98" t="str">
        <f aca="false">INDEX(Master!$C$2:$BL$2,1,MATCH("M",Master!$C5:$BL5,0))</f>
        <v>Russell Cutting</v>
      </c>
      <c r="I4" s="98" t="str">
        <f aca="false">INDEX(Master!$C$2:$BL$2,1,MATCH("W",Master!$C5:$BL5,0))</f>
        <v>Martin Lambert</v>
      </c>
      <c r="J4" s="98" t="str">
        <f aca="false">INDEX(Master!$C$2:$BL$2,1,MATCH("M",Master!$C4:$BL4,0))</f>
        <v>Barry Dwyer</v>
      </c>
      <c r="K4" s="98" t="str">
        <f aca="false">Master!BI5</f>
        <v>Is it worth a visit?</v>
      </c>
      <c r="L4" s="99" t="n">
        <f aca="false">TIME(13,44-Master!BG5,0)</f>
        <v>0.555555555555556</v>
      </c>
      <c r="M4" s="98" t="str">
        <f aca="false">INDEX(Master!$C$2:$AT$2,1,MATCH(1,Master!$C5:$AT5,0))</f>
        <v>Young-Il Kim</v>
      </c>
      <c r="N4" s="100" t="str">
        <f aca="false">IF(Master!BJ5=0," ",Master!BJ5)</f>
        <v>South America</v>
      </c>
      <c r="O4" s="101" t="n">
        <f aca="false">IF(Master!BA5=0," ",Master!BA5)</f>
        <v>5</v>
      </c>
      <c r="P4" s="98" t="str">
        <f aca="false">INDEX(Master!$C$2:$AT$2,1,MATCH(2,Master!$C5:$AT5,0))</f>
        <v>David Phillips</v>
      </c>
      <c r="Q4" s="100" t="str">
        <f aca="false">IF(Master!BK5=0," ",Master!BK5)</f>
        <v>Indonesia</v>
      </c>
      <c r="R4" s="101" t="n">
        <f aca="false">IF(Master!BB5=0," ",Master!BB5)</f>
        <v>5</v>
      </c>
      <c r="S4" s="98" t="str">
        <f aca="false">INDEX(Master!$C$2:$AT$2,1,MATCH(3,Master!$C5:$AT5,0))</f>
        <v>Alistair Knight</v>
      </c>
      <c r="T4" s="100" t="str">
        <f aca="false">IF(Master!BL5=0," ",Master!BL5)</f>
        <v>Middle East</v>
      </c>
      <c r="U4" s="101" t="n">
        <f aca="false">IF(Master!BC5=0," ",Master!BC5)</f>
        <v>5</v>
      </c>
      <c r="V4" s="98" t="str">
        <f aca="false">INDEX(Master!$C$2:$AT$2,1,MATCH(4,Master!$C5:$AT5,0))</f>
        <v>Jim Stewart</v>
      </c>
      <c r="W4" s="100" t="str">
        <f aca="false">IF(Master!BM5=0," ",Master!BM5)</f>
        <v>Russia</v>
      </c>
      <c r="X4" s="101" t="n">
        <f aca="false">IF(Master!BD5=0," ",Master!BD5)</f>
        <v>5</v>
      </c>
      <c r="Y4" s="98" t="str">
        <f aca="false">INDEX(Master!$C$2:$AT$2,1,MATCH(5,Master!$C5:$AT5,0))</f>
        <v> </v>
      </c>
      <c r="Z4" s="100" t="str">
        <f aca="false">IF(Master!BN5=0," ",Master!BN5)</f>
        <v> </v>
      </c>
      <c r="AA4" s="101" t="str">
        <f aca="false">IF(Master!BE5=0," ",Master!BE5)</f>
        <v> </v>
      </c>
      <c r="AB4" s="98" t="str">
        <f aca="false">INDEX(Master!$C$2:$AT$2,1,MATCH(6,Master!$C5:$AT5,0))</f>
        <v> </v>
      </c>
      <c r="AC4" s="100" t="str">
        <f aca="false">IF(Master!BO5=0," ",Master!BO5)</f>
        <v> </v>
      </c>
      <c r="AD4" s="101" t="str">
        <f aca="false">IF(Master!BF5=0," ",Master!BF5)</f>
        <v> </v>
      </c>
      <c r="AE4" s="0"/>
    </row>
    <row r="5" customFormat="false" ht="17.25" hidden="false" customHeight="true" outlineLevel="0" collapsed="false">
      <c r="A5" s="96" t="n">
        <f aca="false">Master!A6</f>
        <v>3329</v>
      </c>
      <c r="B5" s="97" t="n">
        <f aca="false">Master!B6</f>
        <v>40740</v>
      </c>
      <c r="C5" s="98" t="str">
        <f aca="false">VLOOKUP(Master!BH6,Master!BH$35:BI$45,2,FALSE())</f>
        <v>Normal Meeting</v>
      </c>
      <c r="D5" s="98" t="str">
        <f aca="false">VLOOKUP(Master!BH6,Master!BH$35:BK$45,4,FALSE())</f>
        <v> </v>
      </c>
      <c r="E5" s="98" t="str">
        <f aca="false">VLOOKUP(Master!BH6,Master!BH$35:BL$45,5,FALSE())</f>
        <v> </v>
      </c>
      <c r="F5" s="98" t="str">
        <f aca="false">INDEX(Master!$C$2:$BL$2,1,MATCH("X",Master!$C6:$BL6,0))</f>
        <v>Don Stuart</v>
      </c>
      <c r="G5" s="98" t="str">
        <f aca="false">INDEX(Master!$C$2:$BL$2,1,MATCH("C",Master!$C6:$BL6,0))</f>
        <v>Geoff Holden</v>
      </c>
      <c r="H5" s="98" t="str">
        <f aca="false">INDEX(Master!$C$2:$BL$2,1,MATCH("M",Master!$C6:$BL6,0))</f>
        <v>Bill Stacy</v>
      </c>
      <c r="I5" s="98" t="str">
        <f aca="false">INDEX(Master!$C$2:$BL$2,1,MATCH("W",Master!$C6:$BL6,0))</f>
        <v>Jim Stewart</v>
      </c>
      <c r="J5" s="98" t="str">
        <f aca="false">INDEX(Master!$C$2:$BL$2,1,MATCH("M",Master!$C5:$BL5,0))</f>
        <v>Russell Cutting</v>
      </c>
      <c r="K5" s="98" t="str">
        <f aca="false">Master!BI6</f>
        <v>Natural Hazards</v>
      </c>
      <c r="L5" s="99" t="n">
        <f aca="false">TIME(13,44-Master!BG6,0)</f>
        <v>0.555555555555556</v>
      </c>
      <c r="M5" s="98" t="str">
        <f aca="false">INDEX(Master!$C$2:$AT$2,1,MATCH(1,Master!$C6:$AT6,0))</f>
        <v>Norm Duncan</v>
      </c>
      <c r="N5" s="100" t="str">
        <f aca="false">IF(Master!BJ6=0," ",Master!BJ6)</f>
        <v>Spiders</v>
      </c>
      <c r="O5" s="101" t="n">
        <f aca="false">IF(Master!BA6=0," ",Master!BA6)</f>
        <v>5</v>
      </c>
      <c r="P5" s="98" t="str">
        <f aca="false">INDEX(Master!$C$2:$AT$2,1,MATCH(2,Master!$C6:$AT6,0))</f>
        <v>Rolf Prager</v>
      </c>
      <c r="Q5" s="100" t="str">
        <f aca="false">IF(Master!BK6=0," ",Master!BK6)</f>
        <v>Bushfires</v>
      </c>
      <c r="R5" s="101" t="n">
        <f aca="false">IF(Master!BB6=0," ",Master!BB6)</f>
        <v>5</v>
      </c>
      <c r="S5" s="98" t="str">
        <f aca="false">INDEX(Master!$C$2:$AT$2,1,MATCH(3,Master!$C6:$AT6,0))</f>
        <v>Alistair Knight</v>
      </c>
      <c r="T5" s="100" t="str">
        <f aca="false">IF(Master!BL6=0," ",Master!BL6)</f>
        <v>Cyclones</v>
      </c>
      <c r="U5" s="101" t="n">
        <f aca="false">IF(Master!BC6=0," ",Master!BC6)</f>
        <v>5</v>
      </c>
      <c r="V5" s="98" t="str">
        <f aca="false">INDEX(Master!$C$2:$AT$2,1,MATCH(4,Master!$C6:$AT6,0))</f>
        <v>Peter Martindale</v>
      </c>
      <c r="W5" s="100" t="str">
        <f aca="false">IF(Master!BM6=0," ",Master!BM6)</f>
        <v>Snakes</v>
      </c>
      <c r="X5" s="101" t="n">
        <f aca="false">IF(Master!BD6=0," ",Master!BD6)</f>
        <v>5</v>
      </c>
      <c r="Y5" s="98" t="str">
        <f aca="false">INDEX(Master!$C$2:$AT$2,1,MATCH(5,Master!$C6:$AT6,0))</f>
        <v> </v>
      </c>
      <c r="Z5" s="100" t="str">
        <f aca="false">IF(Master!BN6=0," ",Master!BN6)</f>
        <v> </v>
      </c>
      <c r="AA5" s="101" t="str">
        <f aca="false">IF(Master!BE6=0," ",Master!BE6)</f>
        <v> </v>
      </c>
      <c r="AB5" s="98" t="str">
        <f aca="false">INDEX(Master!$C$2:$AT$2,1,MATCH(6,Master!$C6:$AT6,0))</f>
        <v> </v>
      </c>
      <c r="AC5" s="100" t="str">
        <f aca="false">IF(Master!BO6=0," ",Master!BO6)</f>
        <v> </v>
      </c>
      <c r="AD5" s="101" t="str">
        <f aca="false">IF(Master!BF6=0," ",Master!BF6)</f>
        <v> </v>
      </c>
      <c r="AE5" s="0"/>
    </row>
    <row r="6" customFormat="false" ht="17.25" hidden="false" customHeight="true" outlineLevel="0" collapsed="false">
      <c r="A6" s="96" t="n">
        <f aca="false">Master!A7</f>
        <v>3330</v>
      </c>
      <c r="B6" s="97" t="n">
        <f aca="false">Master!B7</f>
        <v>40747</v>
      </c>
      <c r="C6" s="98" t="str">
        <f aca="false">VLOOKUP(Master!BH7,Master!BH$35:BI$45,2,FALSE())</f>
        <v>Normal Meeting</v>
      </c>
      <c r="D6" s="98" t="str">
        <f aca="false">VLOOKUP(Master!BH7,Master!BH$35:BK$45,4,FALSE())</f>
        <v> </v>
      </c>
      <c r="E6" s="98" t="str">
        <f aca="false">VLOOKUP(Master!BH7,Master!BH$35:BL$45,5,FALSE())</f>
        <v> </v>
      </c>
      <c r="F6" s="98" t="str">
        <f aca="false">INDEX(Master!$C$2:$BL$2,1,MATCH("X",Master!$C7:$BL7,0))</f>
        <v>Don Stuart</v>
      </c>
      <c r="G6" s="98" t="str">
        <f aca="false">INDEX(Master!$C$2:$BL$2,1,MATCH("C",Master!$C7:$BL7,0))</f>
        <v>Young-Il Kim</v>
      </c>
      <c r="H6" s="98" t="str">
        <f aca="false">INDEX(Master!$C$2:$BL$2,1,MATCH("M",Master!$C7:$BL7,0))</f>
        <v>Doug Aylen</v>
      </c>
      <c r="I6" s="98" t="str">
        <f aca="false">INDEX(Master!$C$2:$BL$2,1,MATCH("W",Master!$C7:$BL7,0))</f>
        <v>Terry Anderson</v>
      </c>
      <c r="J6" s="98" t="str">
        <f aca="false">INDEX(Master!$C$2:$BL$2,1,MATCH("M",Master!$C6:$BL6,0))</f>
        <v>Bill Stacy</v>
      </c>
      <c r="K6" s="98" t="str">
        <f aca="false">Master!BI7</f>
        <v>Win</v>
      </c>
      <c r="L6" s="99" t="n">
        <f aca="false">TIME(13,44-Master!BG7,0)</f>
        <v>0.555555555555556</v>
      </c>
      <c r="M6" s="98" t="str">
        <f aca="false">INDEX(Master!$C$2:$AT$2,1,MATCH(1,Master!$C7:$AT7,0))</f>
        <v>Kym Beverley</v>
      </c>
      <c r="N6" s="100" t="str">
        <f aca="false">IF(Master!BJ7=0," ",Master!BJ7)</f>
        <v>Winning Ways</v>
      </c>
      <c r="O6" s="101" t="n">
        <f aca="false">IF(Master!BA7=0," ",Master!BA7)</f>
        <v>6</v>
      </c>
      <c r="P6" s="98" t="str">
        <f aca="false">INDEX(Master!$C$2:$AT$2,1,MATCH(2,Master!$C7:$AT7,0))</f>
        <v>Barry Dwyer</v>
      </c>
      <c r="Q6" s="100" t="str">
        <f aca="false">IF(Master!BK7=0," ",Master!BK7)</f>
        <v>A Win-Win Situation</v>
      </c>
      <c r="R6" s="101" t="n">
        <f aca="false">IF(Master!BB7=0," ",Master!BB7)</f>
        <v>4</v>
      </c>
      <c r="S6" s="98" t="str">
        <f aca="false">INDEX(Master!$C$2:$AT$2,1,MATCH(3,Master!$C7:$AT7,0))</f>
        <v>David Knight</v>
      </c>
      <c r="T6" s="100" t="str">
        <f aca="false">IF(Master!BL7=0," ",Master!BL7)</f>
        <v>Winning over</v>
      </c>
      <c r="U6" s="101" t="n">
        <f aca="false">IF(Master!BC7=0," ",Master!BC7)</f>
        <v>6</v>
      </c>
      <c r="V6" s="98" t="str">
        <f aca="false">INDEX(Master!$C$2:$AT$2,1,MATCH(4,Master!$C7:$AT7,0))</f>
        <v>Martin Lambert</v>
      </c>
      <c r="W6" s="100" t="str">
        <f aca="false">IF(Master!BM7=0," ",Master!BM7)</f>
        <v>Winning One's Spurs</v>
      </c>
      <c r="X6" s="101" t="n">
        <f aca="false">IF(Master!BD7=0," ",Master!BD7)</f>
        <v>4</v>
      </c>
      <c r="Y6" s="98" t="str">
        <f aca="false">INDEX(Master!$C$2:$AT$2,1,MATCH(5,Master!$C7:$AT7,0))</f>
        <v> </v>
      </c>
      <c r="Z6" s="100" t="str">
        <f aca="false">IF(Master!BN7=0," ",Master!BN7)</f>
        <v> </v>
      </c>
      <c r="AA6" s="101" t="str">
        <f aca="false">IF(Master!BE7=0," ",Master!BE7)</f>
        <v> </v>
      </c>
      <c r="AB6" s="98" t="str">
        <f aca="false">INDEX(Master!$C$2:$AT$2,1,MATCH(6,Master!$C7:$AT7,0))</f>
        <v> </v>
      </c>
      <c r="AC6" s="100" t="str">
        <f aca="false">IF(Master!BO7=0," ",Master!BO7)</f>
        <v> </v>
      </c>
      <c r="AD6" s="101" t="str">
        <f aca="false">IF(Master!BF7=0," ",Master!BF7)</f>
        <v> </v>
      </c>
      <c r="AE6" s="0"/>
    </row>
    <row r="7" customFormat="false" ht="17.25" hidden="false" customHeight="true" outlineLevel="0" collapsed="false">
      <c r="A7" s="96" t="n">
        <f aca="false">Master!A8</f>
        <v>3331</v>
      </c>
      <c r="B7" s="97" t="n">
        <f aca="false">Master!B8</f>
        <v>40754</v>
      </c>
      <c r="C7" s="98" t="str">
        <f aca="false">VLOOKUP(Master!BH8,Master!BH$35:BI$45,2,FALSE())</f>
        <v>Fifth Friday Frolic</v>
      </c>
      <c r="D7" s="98" t="str">
        <f aca="false">VLOOKUP(Master!BH8,Master!BH$35:BK$45,4,FALSE())</f>
        <v> </v>
      </c>
      <c r="E7" s="98" t="str">
        <f aca="false">VLOOKUP(Master!BH8,Master!BH$35:BL$45,5,FALSE())</f>
        <v> </v>
      </c>
      <c r="F7" s="98" t="str">
        <f aca="false">INDEX(Master!$C$2:$BL$2,1,MATCH("X",Master!$C8:$BL8,0))</f>
        <v>Don Stuart</v>
      </c>
      <c r="G7" s="98" t="str">
        <f aca="false">INDEX(Master!$C$2:$BL$2,1,MATCH("C",Master!$C8:$BL8,0))</f>
        <v>David Knight</v>
      </c>
      <c r="H7" s="98" t="str">
        <f aca="false">INDEX(Master!$C$2:$BL$2,1,MATCH("M",Master!$C8:$BL8,0))</f>
        <v>Kym Beverley</v>
      </c>
      <c r="I7" s="98" t="str">
        <f aca="false">INDEX(Master!$C$2:$BL$2,1,MATCH("W",Master!$C8:$BL8,0))</f>
        <v>Russell Cutting</v>
      </c>
      <c r="J7" s="98" t="str">
        <f aca="false">INDEX(Master!$C$2:$BL$2,1,MATCH("M",Master!$C7:$BL7,0))</f>
        <v>Doug Aylen</v>
      </c>
      <c r="K7" s="98" t="str">
        <f aca="false">Master!BI8</f>
        <v>Tie</v>
      </c>
      <c r="L7" s="99" t="n">
        <f aca="false">TIME(13,44-Master!BG8,0)</f>
        <v>0.555555555555556</v>
      </c>
      <c r="M7" s="98" t="str">
        <f aca="false">INDEX(Master!$C$2:$AT$2,1,MATCH(1,Master!$C8:$AT8,0))</f>
        <v>Doug Aylen</v>
      </c>
      <c r="N7" s="100" t="str">
        <f aca="false">IF(Master!BJ8=0," ",Master!BJ8)</f>
        <v>Old School Tie</v>
      </c>
      <c r="O7" s="101" t="n">
        <f aca="false">IF(Master!BA8=0," ",Master!BA8)</f>
        <v>4</v>
      </c>
      <c r="P7" s="98" t="str">
        <f aca="false">INDEX(Master!$C$2:$AT$2,1,MATCH(2,Master!$C8:$AT8,0))</f>
        <v>Arthur Daw</v>
      </c>
      <c r="Q7" s="100" t="str">
        <f aca="false">IF(Master!BK8=0," ",Master!BK8)</f>
        <v>Family Ties</v>
      </c>
      <c r="R7" s="101" t="n">
        <f aca="false">IF(Master!BB8=0," ",Master!BB8)</f>
        <v>6</v>
      </c>
      <c r="S7" s="98" t="str">
        <f aca="false">INDEX(Master!$C$2:$AT$2,1,MATCH(3,Master!$C8:$AT8,0))</f>
        <v>Young-Il Kim</v>
      </c>
      <c r="T7" s="100" t="str">
        <f aca="false">IF(Master!BL8=0," ",Master!BL8)</f>
        <v>Fit to be Tied</v>
      </c>
      <c r="U7" s="101" t="n">
        <f aca="false">IF(Master!BC8=0," ",Master!BC8)</f>
        <v>4</v>
      </c>
      <c r="V7" s="98" t="str">
        <f aca="false">INDEX(Master!$C$2:$AT$2,1,MATCH(4,Master!$C8:$AT8,0))</f>
        <v>Viv Samuel</v>
      </c>
      <c r="W7" s="100" t="str">
        <f aca="false">IF(Master!BM8=0," ",Master!BM8)</f>
        <v>Tie-ins</v>
      </c>
      <c r="X7" s="101" t="n">
        <f aca="false">IF(Master!BD8=0," ",Master!BD8)</f>
        <v>6</v>
      </c>
      <c r="Y7" s="98" t="str">
        <f aca="false">INDEX(Master!$C$2:$AT$2,1,MATCH(5,Master!$C8:$AT8,0))</f>
        <v> </v>
      </c>
      <c r="Z7" s="100" t="str">
        <f aca="false">IF(Master!BN8=0," ",Master!BN8)</f>
        <v> </v>
      </c>
      <c r="AA7" s="101" t="str">
        <f aca="false">IF(Master!BE8=0," ",Master!BE8)</f>
        <v> </v>
      </c>
      <c r="AB7" s="98" t="str">
        <f aca="false">INDEX(Master!$C$2:$AT$2,1,MATCH(6,Master!$C8:$AT8,0))</f>
        <v> </v>
      </c>
      <c r="AC7" s="100" t="str">
        <f aca="false">IF(Master!BO8=0," ",Master!BO8)</f>
        <v> </v>
      </c>
      <c r="AD7" s="101" t="str">
        <f aca="false">IF(Master!BF8=0," ",Master!BF8)</f>
        <v> </v>
      </c>
      <c r="AE7" s="0"/>
    </row>
    <row r="8" customFormat="false" ht="17.25" hidden="false" customHeight="true" outlineLevel="0" collapsed="false">
      <c r="A8" s="96" t="n">
        <f aca="false">Master!A9</f>
        <v>3332</v>
      </c>
      <c r="B8" s="97" t="n">
        <f aca="false">Master!B9</f>
        <v>40761</v>
      </c>
      <c r="C8" s="98" t="str">
        <f aca="false">VLOOKUP(Master!BH9,Master!BH$35:BI$45,2,FALSE())</f>
        <v>Normal Meeting</v>
      </c>
      <c r="D8" s="98" t="str">
        <f aca="false">VLOOKUP(Master!BH9,Master!BH$35:BK$45,4,FALSE())</f>
        <v> </v>
      </c>
      <c r="E8" s="98" t="str">
        <f aca="false">VLOOKUP(Master!BH9,Master!BH$35:BL$45,5,FALSE())</f>
        <v> </v>
      </c>
      <c r="F8" s="98" t="str">
        <f aca="false">INDEX(Master!$C$2:$BL$2,1,MATCH("X",Master!$C9:$BL9,0))</f>
        <v>Don Stuart</v>
      </c>
      <c r="G8" s="98" t="str">
        <f aca="false">INDEX(Master!$C$2:$BL$2,1,MATCH("C",Master!$C9:$BL9,0))</f>
        <v>Martin Lambert</v>
      </c>
      <c r="H8" s="98" t="str">
        <f aca="false">INDEX(Master!$C$2:$BL$2,1,MATCH("M",Master!$C9:$BL9,0))</f>
        <v>Barry Grear</v>
      </c>
      <c r="I8" s="98" t="str">
        <f aca="false">INDEX(Master!$C$2:$BL$2,1,MATCH("W",Master!$C9:$BL9,0))</f>
        <v>Arthur Daw</v>
      </c>
      <c r="J8" s="98" t="str">
        <f aca="false">INDEX(Master!$C$2:$BL$2,1,MATCH("M",Master!$C8:$BL8,0))</f>
        <v>Kym Beverley</v>
      </c>
      <c r="K8" s="98" t="str">
        <f aca="false">Master!BI9</f>
        <v>Stumps</v>
      </c>
      <c r="L8" s="99" t="n">
        <f aca="false">TIME(13,44-Master!BG9,0)</f>
        <v>0.555555555555556</v>
      </c>
      <c r="M8" s="98" t="str">
        <f aca="false">INDEX(Master!$C$2:$AT$2,1,MATCH(1,Master!$C9:$AT9,0))</f>
        <v>Russell Cutting</v>
      </c>
      <c r="N8" s="100" t="str">
        <f aca="false">IF(Master!BJ9=0," ",Master!BJ9)</f>
        <v>Completely Stumped</v>
      </c>
      <c r="O8" s="101" t="n">
        <f aca="false">IF(Master!BA9=0," ",Master!BA9)</f>
        <v>7</v>
      </c>
      <c r="P8" s="98" t="str">
        <f aca="false">INDEX(Master!$C$2:$AT$2,1,MATCH(2,Master!$C9:$AT9,0))</f>
        <v>Ed McAlister</v>
      </c>
      <c r="Q8" s="100" t="str">
        <f aca="false">IF(Master!BK9=0," ",Master!BK9)</f>
        <v>Tree Stump</v>
      </c>
      <c r="R8" s="101" t="n">
        <f aca="false">IF(Master!BB9=0," ",Master!BB9)</f>
        <v>7</v>
      </c>
      <c r="S8" s="98" t="str">
        <f aca="false">INDEX(Master!$C$2:$AT$2,1,MATCH(3,Master!$C9:$AT9,0))</f>
        <v>Bill Stacy</v>
      </c>
      <c r="T8" s="100" t="str">
        <f aca="false">IF(Master!BL9=0," ",Master!BL9)</f>
        <v>Beyond the Black Stump</v>
      </c>
      <c r="U8" s="101" t="n">
        <f aca="false">IF(Master!BC9=0," ",Master!BC9)</f>
        <v>7</v>
      </c>
      <c r="V8" s="98" t="str">
        <f aca="false">INDEX(Master!$C$2:$AT$2,1,MATCH(4,Master!$C9:$AT9,0))</f>
        <v> </v>
      </c>
      <c r="W8" s="100" t="str">
        <f aca="false">IF(Master!BM9=0," ",Master!BM9)</f>
        <v> </v>
      </c>
      <c r="X8" s="101" t="str">
        <f aca="false">IF(Master!BD9=0," ",Master!BD9)</f>
        <v> </v>
      </c>
      <c r="Y8" s="98" t="str">
        <f aca="false">INDEX(Master!$C$2:$AT$2,1,MATCH(5,Master!$C9:$AT9,0))</f>
        <v> </v>
      </c>
      <c r="Z8" s="100" t="str">
        <f aca="false">IF(Master!BN9=0," ",Master!BN9)</f>
        <v> </v>
      </c>
      <c r="AA8" s="101" t="str">
        <f aca="false">IF(Master!BE9=0," ",Master!BE9)</f>
        <v> </v>
      </c>
      <c r="AB8" s="98" t="str">
        <f aca="false">INDEX(Master!$C$2:$AT$2,1,MATCH(6,Master!$C9:$AT9,0))</f>
        <v> </v>
      </c>
      <c r="AC8" s="100" t="str">
        <f aca="false">IF(Master!BO9=0," ",Master!BO9)</f>
        <v> </v>
      </c>
      <c r="AD8" s="101" t="str">
        <f aca="false">IF(Master!BF9=0," ",Master!BF9)</f>
        <v> </v>
      </c>
      <c r="AE8" s="0"/>
    </row>
    <row r="9" customFormat="false" ht="17.25" hidden="false" customHeight="true" outlineLevel="0" collapsed="false">
      <c r="A9" s="96" t="n">
        <f aca="false">Master!A10</f>
        <v>3333</v>
      </c>
      <c r="B9" s="97" t="n">
        <f aca="false">Master!B10</f>
        <v>40768</v>
      </c>
      <c r="C9" s="98" t="str">
        <f aca="false">VLOOKUP(Master!BH10,Master!BH$35:BI$45,2,FALSE())</f>
        <v>Normal Meeting</v>
      </c>
      <c r="D9" s="98" t="str">
        <f aca="false">VLOOKUP(Master!BH10,Master!BH$35:BK$45,4,FALSE())</f>
        <v> </v>
      </c>
      <c r="E9" s="98" t="str">
        <f aca="false">VLOOKUP(Master!BH10,Master!BH$35:BL$45,5,FALSE())</f>
        <v> </v>
      </c>
      <c r="F9" s="98" t="str">
        <f aca="false">INDEX(Master!$C$2:$BL$2,1,MATCH("X",Master!$C10:$BL10,0))</f>
        <v>Don Stuart</v>
      </c>
      <c r="G9" s="98" t="str">
        <f aca="false">INDEX(Master!$C$2:$BL$2,1,MATCH("C",Master!$C10:$BL10,0))</f>
        <v>Peter Martindale</v>
      </c>
      <c r="H9" s="98" t="str">
        <f aca="false">INDEX(Master!$C$2:$BL$2,1,MATCH("M",Master!$C10:$BL10,0))</f>
        <v>Geoff Holden</v>
      </c>
      <c r="I9" s="98" t="str">
        <f aca="false">INDEX(Master!$C$2:$BL$2,1,MATCH("W",Master!$C10:$BL10,0))</f>
        <v>Norm Duncan</v>
      </c>
      <c r="J9" s="98" t="str">
        <f aca="false">INDEX(Master!$C$2:$BL$2,1,MATCH("M",Master!$C9:$BL9,0))</f>
        <v>Barry Grear</v>
      </c>
      <c r="K9" s="98" t="str">
        <f aca="false">Master!BI10</f>
        <v>Balls</v>
      </c>
      <c r="L9" s="99" t="n">
        <f aca="false">TIME(13,44-Master!BG10,0)</f>
        <v>0.555555555555556</v>
      </c>
      <c r="M9" s="98" t="str">
        <f aca="false">INDEX(Master!$C$2:$AT$2,1,MATCH(1,Master!$C10:$AT10,0))</f>
        <v>Chao-Shui Xu</v>
      </c>
      <c r="N9" s="100" t="str">
        <f aca="false">IF(Master!BJ10=0," ",Master!BJ10)</f>
        <v>A Lot of Balls</v>
      </c>
      <c r="O9" s="101" t="n">
        <f aca="false">IF(Master!BA10=0," ",Master!BA10)</f>
        <v>4</v>
      </c>
      <c r="P9" s="98" t="str">
        <f aca="false">INDEX(Master!$C$2:$AT$2,1,MATCH(2,Master!$C10:$AT10,0))</f>
        <v> </v>
      </c>
      <c r="Q9" s="100" t="str">
        <f aca="false">IF(Master!BK10=0," ",Master!BK10)</f>
        <v>Ball and Chain</v>
      </c>
      <c r="R9" s="101" t="n">
        <f aca="false">IF(Master!BB10=0," ",Master!BB10)</f>
        <v>6</v>
      </c>
      <c r="S9" s="98" t="str">
        <f aca="false">INDEX(Master!$C$2:$AT$2,1,MATCH(3,Master!$C10:$AT10,0))</f>
        <v> </v>
      </c>
      <c r="T9" s="100" t="str">
        <f aca="false">IF(Master!BL10=0," ",Master!BL10)</f>
        <v>Keep the Ball Rolling</v>
      </c>
      <c r="U9" s="101" t="n">
        <f aca="false">IF(Master!BC10=0," ",Master!BC10)</f>
        <v>4</v>
      </c>
      <c r="V9" s="98" t="str">
        <f aca="false">INDEX(Master!$C$2:$AT$2,1,MATCH(4,Master!$C10:$AT10,0))</f>
        <v>David Phillips</v>
      </c>
      <c r="W9" s="100" t="str">
        <f aca="false">IF(Master!BM10=0," ",Master!BM10)</f>
        <v>After the Ball</v>
      </c>
      <c r="X9" s="101" t="n">
        <f aca="false">IF(Master!BD10=0," ",Master!BD10)</f>
        <v>6</v>
      </c>
      <c r="Y9" s="98" t="str">
        <f aca="false">INDEX(Master!$C$2:$AT$2,1,MATCH(5,Master!$C10:$AT10,0))</f>
        <v>Jim Stewart</v>
      </c>
      <c r="Z9" s="100" t="str">
        <f aca="false">IF(Master!BN10=0," ",Master!BN10)</f>
        <v> </v>
      </c>
      <c r="AA9" s="101" t="str">
        <f aca="false">IF(Master!BE10=0," ",Master!BE10)</f>
        <v> </v>
      </c>
      <c r="AB9" s="98" t="str">
        <f aca="false">INDEX(Master!$C$2:$AT$2,1,MATCH(6,Master!$C10:$AT10,0))</f>
        <v> </v>
      </c>
      <c r="AC9" s="100" t="str">
        <f aca="false">IF(Master!BO10=0," ",Master!BO10)</f>
        <v> </v>
      </c>
      <c r="AD9" s="101" t="str">
        <f aca="false">IF(Master!BF10=0," ",Master!BF10)</f>
        <v> </v>
      </c>
      <c r="AE9" s="0"/>
    </row>
    <row r="10" customFormat="false" ht="17.25" hidden="false" customHeight="true" outlineLevel="0" collapsed="false">
      <c r="A10" s="96" t="n">
        <f aca="false">Master!A11</f>
        <v>3334</v>
      </c>
      <c r="B10" s="97" t="n">
        <f aca="false">Master!B11</f>
        <v>40775</v>
      </c>
      <c r="C10" s="98" t="str">
        <f aca="false">VLOOKUP(Master!BH11,Master!BH$35:BI$45,2,FALSE())</f>
        <v>Normal Meeting</v>
      </c>
      <c r="D10" s="98" t="str">
        <f aca="false">VLOOKUP(Master!BH11,Master!BH$35:BK$45,4,FALSE())</f>
        <v> </v>
      </c>
      <c r="E10" s="98" t="str">
        <f aca="false">VLOOKUP(Master!BH11,Master!BH$35:BL$45,5,FALSE())</f>
        <v> </v>
      </c>
      <c r="F10" s="98" t="str">
        <f aca="false">INDEX(Master!$C$2:$BL$2,1,MATCH("X",Master!$C11:$BL11,0))</f>
        <v>Don Stuart</v>
      </c>
      <c r="G10" s="98" t="str">
        <f aca="false">INDEX(Master!$C$2:$BL$2,1,MATCH("C",Master!$C11:$BL11,0))</f>
        <v>Ed McAlister</v>
      </c>
      <c r="H10" s="98" t="str">
        <f aca="false">INDEX(Master!$C$2:$BL$2,1,MATCH("M",Master!$C11:$BL11,0))</f>
        <v>Young-Il Kim</v>
      </c>
      <c r="I10" s="98" t="str">
        <f aca="false">INDEX(Master!$C$2:$BL$2,1,MATCH("W",Master!$C11:$BL11,0))</f>
        <v>Geoff Holden</v>
      </c>
      <c r="J10" s="98" t="str">
        <f aca="false">INDEX(Master!$C$2:$BL$2,1,MATCH("M",Master!$C10:$BL10,0))</f>
        <v>Geoff Holden</v>
      </c>
      <c r="K10" s="98" t="str">
        <f aca="false">Master!BI11</f>
        <v>Over</v>
      </c>
      <c r="L10" s="99" t="n">
        <f aca="false">TIME(13,44-Master!BG11,0)</f>
        <v>0.555555555555556</v>
      </c>
      <c r="M10" s="98" t="str">
        <f aca="false">INDEX(Master!$C$2:$AT$2,1,MATCH(1,Master!$C11:$AT11,0))</f>
        <v>Barry Grear</v>
      </c>
      <c r="N10" s="100" t="str">
        <f aca="false">IF(Master!BJ11=0," ",Master!BJ11)</f>
        <v>Over the Top</v>
      </c>
      <c r="O10" s="101" t="n">
        <f aca="false">IF(Master!BA11=0," ",Master!BA11)</f>
        <v>6</v>
      </c>
      <c r="P10" s="98" t="str">
        <f aca="false">INDEX(Master!$C$2:$AT$2,1,MATCH(2,Master!$C11:$AT11,0))</f>
        <v>Rolf Prager</v>
      </c>
      <c r="Q10" s="100" t="str">
        <f aca="false">IF(Master!BK11=0," ",Master!BK11)</f>
        <v>Over the Counter</v>
      </c>
      <c r="R10" s="101" t="n">
        <f aca="false">IF(Master!BB11=0," ",Master!BB11)</f>
        <v>6</v>
      </c>
      <c r="S10" s="98" t="str">
        <f aca="false">INDEX(Master!$C$2:$AT$2,1,MATCH(3,Master!$C11:$AT11,0))</f>
        <v>Barry Dwyer</v>
      </c>
      <c r="T10" s="100" t="str">
        <f aca="false">IF(Master!BL11=0," ",Master!BL11)</f>
        <v>Over the Hill</v>
      </c>
      <c r="U10" s="101" t="n">
        <f aca="false">IF(Master!BC11=0," ",Master!BC11)</f>
        <v>4</v>
      </c>
      <c r="V10" s="98" t="str">
        <f aca="false">INDEX(Master!$C$2:$AT$2,1,MATCH(4,Master!$C11:$AT11,0))</f>
        <v>David Knight</v>
      </c>
      <c r="W10" s="100" t="str">
        <f aca="false">IF(Master!BM11=0," ",Master!BM11)</f>
        <v>Over the Moon</v>
      </c>
      <c r="X10" s="101" t="n">
        <f aca="false">IF(Master!BD11=0," ",Master!BD11)</f>
        <v>4</v>
      </c>
      <c r="Y10" s="98" t="str">
        <f aca="false">INDEX(Master!$C$2:$AT$2,1,MATCH(5,Master!$C11:$AT11,0))</f>
        <v> </v>
      </c>
      <c r="Z10" s="100" t="str">
        <f aca="false">IF(Master!BN11=0," ",Master!BN11)</f>
        <v> </v>
      </c>
      <c r="AA10" s="101" t="str">
        <f aca="false">IF(Master!BE11=0," ",Master!BE11)</f>
        <v> </v>
      </c>
      <c r="AB10" s="98" t="str">
        <f aca="false">INDEX(Master!$C$2:$AT$2,1,MATCH(6,Master!$C11:$AT11,0))</f>
        <v> </v>
      </c>
      <c r="AC10" s="100" t="str">
        <f aca="false">IF(Master!BO11=0," ",Master!BO11)</f>
        <v> </v>
      </c>
      <c r="AD10" s="101" t="str">
        <f aca="false">IF(Master!BF11=0," ",Master!BF11)</f>
        <v> </v>
      </c>
      <c r="AE10" s="0"/>
    </row>
    <row r="11" customFormat="false" ht="17.25" hidden="false" customHeight="true" outlineLevel="0" collapsed="false">
      <c r="A11" s="96" t="n">
        <f aca="false">Master!A12</f>
        <v>3335</v>
      </c>
      <c r="B11" s="97" t="n">
        <f aca="false">Master!B12</f>
        <v>40782</v>
      </c>
      <c r="C11" s="98" t="str">
        <f aca="false">VLOOKUP(Master!BH12,Master!BH$35:BI$45,2,FALSE())</f>
        <v>Normal Meeting</v>
      </c>
      <c r="D11" s="98" t="str">
        <f aca="false">VLOOKUP(Master!BH12,Master!BH$35:BK$45,4,FALSE())</f>
        <v> </v>
      </c>
      <c r="E11" s="98" t="str">
        <f aca="false">VLOOKUP(Master!BH12,Master!BH$35:BL$45,5,FALSE())</f>
        <v> </v>
      </c>
      <c r="F11" s="98" t="str">
        <f aca="false">INDEX(Master!$C$2:$BL$2,1,MATCH("X",Master!$C12:$BL12,0))</f>
        <v>Don Stuart</v>
      </c>
      <c r="G11" s="98" t="str">
        <f aca="false">INDEX(Master!$C$2:$BL$2,1,MATCH("C",Master!$C12:$BL12,0))</f>
        <v>Rolf Prager</v>
      </c>
      <c r="H11" s="98" t="str">
        <f aca="false">INDEX(Master!$C$2:$BL$2,1,MATCH("M",Master!$C12:$BL12,0))</f>
        <v>David Knight</v>
      </c>
      <c r="I11" s="98" t="str">
        <f aca="false">INDEX(Master!$C$2:$BL$2,1,MATCH("W",Master!$C12:$BL12,0))</f>
        <v>Ed McAlister</v>
      </c>
      <c r="J11" s="98" t="str">
        <f aca="false">INDEX(Master!$C$2:$BL$2,1,MATCH("M",Master!$C11:$BL11,0))</f>
        <v>Young-Il Kim</v>
      </c>
      <c r="K11" s="98" t="str">
        <f aca="false">Master!BI12</f>
        <v>Runs</v>
      </c>
      <c r="L11" s="99" t="n">
        <f aca="false">TIME(13,44-Master!BG12,0)</f>
        <v>0.555555555555556</v>
      </c>
      <c r="M11" s="98" t="str">
        <f aca="false">INDEX(Master!$C$2:$AT$2,1,MATCH(1,Master!$C12:$AT12,0))</f>
        <v>Viv Samuel</v>
      </c>
      <c r="N11" s="100" t="str">
        <f aca="false">IF(Master!BJ12=0," ",Master!BJ12)</f>
        <v>Run Down</v>
      </c>
      <c r="O11" s="101" t="n">
        <f aca="false">IF(Master!BA12=0," ",Master!BA12)</f>
        <v>5</v>
      </c>
      <c r="P11" s="98" t="str">
        <f aca="false">INDEX(Master!$C$2:$AT$2,1,MATCH(2,Master!$C12:$AT12,0))</f>
        <v>Martin Lambert</v>
      </c>
      <c r="Q11" s="100" t="str">
        <f aca="false">IF(Master!BK12=0," ",Master!BK12)</f>
        <v>Running Mate</v>
      </c>
      <c r="R11" s="101" t="n">
        <f aca="false">IF(Master!BB12=0," ",Master!BB12)</f>
        <v>5</v>
      </c>
      <c r="S11" s="98" t="str">
        <f aca="false">INDEX(Master!$C$2:$AT$2,1,MATCH(3,Master!$C12:$AT12,0))</f>
        <v>Bill Stacy</v>
      </c>
      <c r="T11" s="100" t="str">
        <f aca="false">IF(Master!BL12=0," ",Master!BL12)</f>
        <v>Running Repairs</v>
      </c>
      <c r="U11" s="101" t="n">
        <f aca="false">IF(Master!BC12=0," ",Master!BC12)</f>
        <v>5</v>
      </c>
      <c r="V11" s="98" t="str">
        <f aca="false">INDEX(Master!$C$2:$AT$2,1,MATCH(4,Master!$C12:$AT12,0))</f>
        <v>Terry Anderson</v>
      </c>
      <c r="W11" s="100" t="str">
        <f aca="false">IF(Master!BM12=0," ",Master!BM12)</f>
        <v>Running Water</v>
      </c>
      <c r="X11" s="101" t="n">
        <f aca="false">IF(Master!BD12=0," ",Master!BD12)</f>
        <v>5</v>
      </c>
      <c r="Y11" s="98" t="str">
        <f aca="false">INDEX(Master!$C$2:$AT$2,1,MATCH(5,Master!$C12:$AT12,0))</f>
        <v> </v>
      </c>
      <c r="Z11" s="100" t="str">
        <f aca="false">IF(Master!BN12=0," ",Master!BN12)</f>
        <v> </v>
      </c>
      <c r="AA11" s="101" t="str">
        <f aca="false">IF(Master!BE12=0," ",Master!BE12)</f>
        <v> </v>
      </c>
      <c r="AB11" s="98" t="str">
        <f aca="false">INDEX(Master!$C$2:$AT$2,1,MATCH(6,Master!$C12:$AT12,0))</f>
        <v> </v>
      </c>
      <c r="AC11" s="100" t="str">
        <f aca="false">IF(Master!BO12=0," ",Master!BO12)</f>
        <v> </v>
      </c>
      <c r="AD11" s="101" t="str">
        <f aca="false">IF(Master!BF12=0," ",Master!BF12)</f>
        <v> </v>
      </c>
      <c r="AE11" s="0"/>
    </row>
    <row r="12" customFormat="false" ht="17.25" hidden="false" customHeight="true" outlineLevel="0" collapsed="false">
      <c r="A12" s="96" t="n">
        <f aca="false">Master!A13</f>
        <v>3336</v>
      </c>
      <c r="B12" s="97" t="n">
        <f aca="false">Master!B13</f>
        <v>40789</v>
      </c>
      <c r="C12" s="98" t="str">
        <f aca="false">VLOOKUP(Master!BH13,Master!BH$35:BI$45,2,FALSE())</f>
        <v>Normal Meeting</v>
      </c>
      <c r="D12" s="98" t="str">
        <f aca="false">VLOOKUP(Master!BH13,Master!BH$35:BK$45,4,FALSE())</f>
        <v> </v>
      </c>
      <c r="E12" s="98" t="str">
        <f aca="false">VLOOKUP(Master!BH13,Master!BH$35:BL$45,5,FALSE())</f>
        <v> </v>
      </c>
      <c r="F12" s="98" t="str">
        <f aca="false">INDEX(Master!$C$2:$BL$2,1,MATCH("X",Master!$C13:$BL13,0))</f>
        <v>Don Stuart</v>
      </c>
      <c r="G12" s="98" t="str">
        <f aca="false">INDEX(Master!$C$2:$BL$2,1,MATCH("C",Master!$C13:$BL13,0))</f>
        <v>David Phillips</v>
      </c>
      <c r="H12" s="98" t="str">
        <f aca="false">INDEX(Master!$C$2:$BL$2,1,MATCH("M",Master!$C13:$BL13,0))</f>
        <v>Martin Lambert</v>
      </c>
      <c r="I12" s="98" t="str">
        <f aca="false">INDEX(Master!$C$2:$BL$2,1,MATCH("W",Master!$C13:$BL13,0))</f>
        <v>Barry Grear</v>
      </c>
      <c r="J12" s="98" t="str">
        <f aca="false">INDEX(Master!$C$2:$BL$2,1,MATCH("M",Master!$C12:$BL12,0))</f>
        <v>David Knight</v>
      </c>
      <c r="K12" s="98" t="str">
        <f aca="false">Master!BI13</f>
        <v>Boundaries</v>
      </c>
      <c r="L12" s="99" t="n">
        <f aca="false">TIME(13,44-Master!BG13,0)</f>
        <v>0.555555555555556</v>
      </c>
      <c r="M12" s="98" t="str">
        <f aca="false">INDEX(Master!$C$2:$AT$2,1,MATCH(1,Master!$C13:$AT13,0))</f>
        <v>Richard Smith</v>
      </c>
      <c r="N12" s="100" t="str">
        <f aca="false">IF(Master!BJ13=0," ",Master!BJ13)</f>
        <v>Boundary Rider</v>
      </c>
      <c r="O12" s="101" t="n">
        <f aca="false">IF(Master!BA13=0," ",Master!BA13)</f>
        <v>7</v>
      </c>
      <c r="P12" s="98" t="str">
        <f aca="false">INDEX(Master!$C$2:$AT$2,1,MATCH(2,Master!$C13:$AT13,0))</f>
        <v>Kym Beverley</v>
      </c>
      <c r="Q12" s="100" t="str">
        <f aca="false">IF(Master!BK13=0," ",Master!BK13)</f>
        <v>Boundary Layer</v>
      </c>
      <c r="R12" s="101" t="n">
        <f aca="false">IF(Master!BB13=0," ",Master!BB13)</f>
        <v>7</v>
      </c>
      <c r="S12" s="98" t="str">
        <f aca="false">INDEX(Master!$C$2:$AT$2,1,MATCH(3,Master!$C13:$AT13,0))</f>
        <v>Peter Martindale</v>
      </c>
      <c r="T12" s="100" t="str">
        <f aca="false">IF(Master!BL13=0," ",Master!BL13)</f>
        <v>Permian-Triassic Boundary</v>
      </c>
      <c r="U12" s="101" t="n">
        <f aca="false">IF(Master!BC13=0," ",Master!BC13)</f>
        <v>7</v>
      </c>
      <c r="V12" s="98" t="str">
        <f aca="false">INDEX(Master!$C$2:$AT$2,1,MATCH(4,Master!$C13:$AT13,0))</f>
        <v> </v>
      </c>
      <c r="W12" s="100" t="str">
        <f aca="false">IF(Master!BM13=0," ",Master!BM13)</f>
        <v> </v>
      </c>
      <c r="X12" s="101" t="str">
        <f aca="false">IF(Master!BD13=0," ",Master!BD13)</f>
        <v> </v>
      </c>
      <c r="Y12" s="98" t="str">
        <f aca="false">INDEX(Master!$C$2:$AT$2,1,MATCH(5,Master!$C13:$AT13,0))</f>
        <v> </v>
      </c>
      <c r="Z12" s="100" t="str">
        <f aca="false">IF(Master!BN13=0," ",Master!BN13)</f>
        <v> </v>
      </c>
      <c r="AA12" s="101" t="str">
        <f aca="false">IF(Master!BE13=0," ",Master!BE13)</f>
        <v> </v>
      </c>
      <c r="AB12" s="98" t="str">
        <f aca="false">INDEX(Master!$C$2:$AT$2,1,MATCH(6,Master!$C13:$AT13,0))</f>
        <v> </v>
      </c>
      <c r="AC12" s="100" t="str">
        <f aca="false">IF(Master!BO13=0," ",Master!BO13)</f>
        <v> </v>
      </c>
      <c r="AD12" s="101" t="str">
        <f aca="false">IF(Master!BF13=0," ",Master!BF13)</f>
        <v> </v>
      </c>
      <c r="AE12" s="98" t="str">
        <f aca="false">INDEX(Master!$C$2:$AT$2,1,MATCH(6,Master!$C8:$AT8,0))</f>
        <v> </v>
      </c>
    </row>
    <row r="13" customFormat="false" ht="17.25" hidden="false" customHeight="true" outlineLevel="0" collapsed="false">
      <c r="A13" s="96" t="n">
        <f aca="false">Master!A14</f>
        <v>3337</v>
      </c>
      <c r="B13" s="97" t="n">
        <f aca="false">Master!B14</f>
        <v>40796</v>
      </c>
      <c r="C13" s="98" t="str">
        <f aca="false">VLOOKUP(Master!BH14,Master!BH$35:BI$45,2,FALSE())</f>
        <v>Normal Meeting</v>
      </c>
      <c r="D13" s="98" t="str">
        <f aca="false">VLOOKUP(Master!BH14,Master!BH$35:BK$45,4,FALSE())</f>
        <v> </v>
      </c>
      <c r="E13" s="98" t="str">
        <f aca="false">VLOOKUP(Master!BH14,Master!BH$35:BL$45,5,FALSE())</f>
        <v> </v>
      </c>
      <c r="F13" s="98" t="str">
        <f aca="false">INDEX(Master!$C$2:$BL$2,1,MATCH("X",Master!$C14:$BL14,0))</f>
        <v>Don Stuart</v>
      </c>
      <c r="G13" s="98" t="str">
        <f aca="false">INDEX(Master!$C$2:$BL$2,1,MATCH("C",Master!$C14:$BL14,0))</f>
        <v>Viv Samuel</v>
      </c>
      <c r="H13" s="98" t="str">
        <f aca="false">INDEX(Master!$C$2:$BL$2,1,MATCH("M",Master!$C14:$BL14,0))</f>
        <v>Peter Martindale</v>
      </c>
      <c r="I13" s="98" t="str">
        <f aca="false">INDEX(Master!$C$2:$BL$2,1,MATCH("W",Master!$C14:$BL14,0))</f>
        <v>Chao-Shui Xu</v>
      </c>
      <c r="J13" s="98" t="str">
        <f aca="false">INDEX(Master!$C$2:$BL$2,1,MATCH("M",Master!$C13:$BL13,0))</f>
        <v>Martin Lambert</v>
      </c>
      <c r="K13" s="98" t="str">
        <f aca="false">Master!BI14</f>
        <v>Point</v>
      </c>
      <c r="L13" s="99" t="n">
        <f aca="false">TIME(13,44-Master!BG14,0)</f>
        <v>0.555555555555556</v>
      </c>
      <c r="M13" s="98" t="str">
        <f aca="false">INDEX(Master!$C$2:$AT$2,1,MATCH(1,Master!$C14:$AT14,0))</f>
        <v>Doug Aylen</v>
      </c>
      <c r="N13" s="100" t="str">
        <f aca="false">IF(Master!BJ14=0," ",Master!BJ14)</f>
        <v>Point of no Return</v>
      </c>
      <c r="O13" s="101" t="n">
        <f aca="false">IF(Master!BA14=0," ",Master!BA14)</f>
        <v>8</v>
      </c>
      <c r="P13" s="98" t="str">
        <f aca="false">INDEX(Master!$C$2:$AT$2,1,MATCH(2,Master!$C14:$AT14,0))</f>
        <v>Arthur Daw</v>
      </c>
      <c r="Q13" s="100" t="str">
        <f aca="false">IF(Master!BK14=0," ",Master!BK14)</f>
        <v>Point of Order</v>
      </c>
      <c r="R13" s="101" t="n">
        <f aca="false">IF(Master!BB14=0," ",Master!BB14)</f>
        <v>7</v>
      </c>
      <c r="S13" s="98" t="str">
        <f aca="false">INDEX(Master!$C$2:$AT$2,1,MATCH(3,Master!$C14:$AT14,0))</f>
        <v>Young-Il Kim</v>
      </c>
      <c r="T13" s="100" t="str">
        <f aca="false">IF(Master!BL14=0," ",Master!BL14)</f>
        <v>Not to put too fine a point on it</v>
      </c>
      <c r="U13" s="101" t="n">
        <f aca="false">IF(Master!BC14=0," ",Master!BC14)</f>
        <v>6</v>
      </c>
      <c r="V13" s="98" t="str">
        <f aca="false">INDEX(Master!$C$2:$AT$2,1,MATCH(4,Master!$C14:$AT14,0))</f>
        <v> </v>
      </c>
      <c r="W13" s="100" t="str">
        <f aca="false">IF(Master!BM14=0," ",Master!BM14)</f>
        <v> </v>
      </c>
      <c r="X13" s="101" t="str">
        <f aca="false">IF(Master!BD14=0," ",Master!BD14)</f>
        <v> </v>
      </c>
      <c r="Y13" s="98" t="str">
        <f aca="false">INDEX(Master!$C$2:$AT$2,1,MATCH(5,Master!$C14:$AT14,0))</f>
        <v> </v>
      </c>
      <c r="Z13" s="100" t="str">
        <f aca="false">IF(Master!BN14=0," ",Master!BN14)</f>
        <v> </v>
      </c>
      <c r="AA13" s="101" t="str">
        <f aca="false">IF(Master!BE14=0," ",Master!BE14)</f>
        <v> </v>
      </c>
      <c r="AB13" s="98" t="str">
        <f aca="false">INDEX(Master!$C$2:$AT$2,1,MATCH(6,Master!$C14:$AT14,0))</f>
        <v> </v>
      </c>
      <c r="AC13" s="100" t="str">
        <f aca="false">IF(Master!BO14=0," ",Master!BO14)</f>
        <v> </v>
      </c>
      <c r="AD13" s="101" t="str">
        <f aca="false">IF(Master!BF14=0," ",Master!BF14)</f>
        <v> </v>
      </c>
      <c r="AE13" s="98" t="str">
        <f aca="false">INDEX(Master!$C$2:$AT$2,1,MATCH(6,Master!$C9:$AT9,0))</f>
        <v> </v>
      </c>
    </row>
    <row r="14" customFormat="false" ht="17.25" hidden="false" customHeight="true" outlineLevel="0" collapsed="false">
      <c r="A14" s="96" t="n">
        <f aca="false">Master!A15</f>
        <v>3338</v>
      </c>
      <c r="B14" s="97" t="n">
        <f aca="false">Master!B15</f>
        <v>40803</v>
      </c>
      <c r="C14" s="98" t="str">
        <f aca="false">VLOOKUP(Master!BH15,Master!BH$35:BI$45,2,FALSE())</f>
        <v>Normal Meeting</v>
      </c>
      <c r="D14" s="98" t="str">
        <f aca="false">VLOOKUP(Master!BH15,Master!BH$35:BK$45,4,FALSE())</f>
        <v> </v>
      </c>
      <c r="E14" s="98" t="str">
        <f aca="false">VLOOKUP(Master!BH15,Master!BH$35:BL$45,5,FALSE())</f>
        <v> </v>
      </c>
      <c r="F14" s="98" t="str">
        <f aca="false">INDEX(Master!$C$2:$BL$2,1,MATCH("X",Master!$C15:$BL15,0))</f>
        <v>Don Stuart</v>
      </c>
      <c r="G14" s="98" t="str">
        <f aca="false">INDEX(Master!$C$2:$BL$2,1,MATCH("C",Master!$C15:$BL15,0))</f>
        <v>Richard Smith</v>
      </c>
      <c r="H14" s="98" t="str">
        <f aca="false">INDEX(Master!$C$2:$BL$2,1,MATCH("M",Master!$C15:$BL15,0))</f>
        <v>Ed McAlister</v>
      </c>
      <c r="I14" s="98" t="str">
        <f aca="false">INDEX(Master!$C$2:$BL$2,1,MATCH("W",Master!$C15:$BL15,0))</f>
        <v>David Knight</v>
      </c>
      <c r="J14" s="98" t="str">
        <f aca="false">INDEX(Master!$C$2:$BL$2,1,MATCH("M",Master!$C14:$BL14,0))</f>
        <v>Peter Martindale</v>
      </c>
      <c r="K14" s="98" t="str">
        <f aca="false">Master!BI15</f>
        <v>Slips</v>
      </c>
      <c r="L14" s="99" t="n">
        <f aca="false">TIME(13,44-Master!BG15,0)</f>
        <v>0.555555555555556</v>
      </c>
      <c r="M14" s="98" t="str">
        <f aca="false">INDEX(Master!$C$2:$AT$2,1,MATCH(1,Master!$C15:$AT15,0))</f>
        <v>Russell Cutting</v>
      </c>
      <c r="N14" s="100" t="str">
        <f aca="false">IF(Master!BJ15=0," ",Master!BJ15)</f>
        <v>Slipstream</v>
      </c>
      <c r="O14" s="101" t="n">
        <f aca="false">IF(Master!BA15=0," ",Master!BA15)</f>
        <v>5</v>
      </c>
      <c r="P14" s="98" t="str">
        <f aca="false">INDEX(Master!$C$2:$AT$2,1,MATCH(2,Master!$C15:$AT15,0))</f>
        <v>David Phillips</v>
      </c>
      <c r="Q14" s="100" t="str">
        <f aca="false">IF(Master!BK15=0," ",Master!BK15)</f>
        <v>Slipshod</v>
      </c>
      <c r="R14" s="101" t="n">
        <f aca="false">IF(Master!BB15=0," ",Master!BB15)</f>
        <v>5</v>
      </c>
      <c r="S14" s="98" t="str">
        <f aca="false">INDEX(Master!$C$2:$AT$2,1,MATCH(3,Master!$C15:$AT15,0))</f>
        <v>Jim Stewart</v>
      </c>
      <c r="T14" s="100" t="str">
        <f aca="false">IF(Master!BL15=0," ",Master!BL15)</f>
        <v>Give the Slip</v>
      </c>
      <c r="U14" s="101" t="n">
        <f aca="false">IF(Master!BC15=0," ",Master!BC15)</f>
        <v>5</v>
      </c>
      <c r="V14" s="98" t="str">
        <f aca="false">INDEX(Master!$C$2:$AT$2,1,MATCH(4,Master!$C15:$AT15,0))</f>
        <v>Barry Dwyer</v>
      </c>
      <c r="W14" s="100" t="str">
        <f aca="false">IF(Master!BM15=0," ",Master!BM15)</f>
        <v>Slip of the Tongue</v>
      </c>
      <c r="X14" s="101" t="n">
        <f aca="false">IF(Master!BD15=0," ",Master!BD15)</f>
        <v>5</v>
      </c>
      <c r="Y14" s="98" t="str">
        <f aca="false">INDEX(Master!$C$2:$AT$2,1,MATCH(5,Master!$C15:$AT15,0))</f>
        <v> </v>
      </c>
      <c r="Z14" s="100" t="str">
        <f aca="false">IF(Master!BN15=0," ",Master!BN15)</f>
        <v> </v>
      </c>
      <c r="AA14" s="101" t="str">
        <f aca="false">IF(Master!BE15=0," ",Master!BE15)</f>
        <v> </v>
      </c>
      <c r="AB14" s="98" t="str">
        <f aca="false">INDEX(Master!$C$2:$AT$2,1,MATCH(6,Master!$C15:$AT15,0))</f>
        <v> </v>
      </c>
      <c r="AC14" s="100" t="str">
        <f aca="false">IF(Master!BO15=0," ",Master!BO15)</f>
        <v> </v>
      </c>
      <c r="AD14" s="101" t="str">
        <f aca="false">IF(Master!BF15=0," ",Master!BF15)</f>
        <v> </v>
      </c>
      <c r="AE14" s="98" t="str">
        <f aca="false">INDEX(Master!$C$2:$AT$2,1,MATCH(6,Master!$C10:$AT10,0))</f>
        <v> </v>
      </c>
    </row>
    <row r="15" customFormat="false" ht="17.25" hidden="false" customHeight="true" outlineLevel="0" collapsed="false">
      <c r="A15" s="96" t="n">
        <f aca="false">Master!A16</f>
        <v>3339</v>
      </c>
      <c r="B15" s="97" t="n">
        <f aca="false">Master!B16</f>
        <v>40810</v>
      </c>
      <c r="C15" s="98" t="str">
        <f aca="false">VLOOKUP(Master!BH16,Master!BH$35:BI$45,2,FALSE())</f>
        <v>Normal Meeting</v>
      </c>
      <c r="D15" s="98" t="str">
        <f aca="false">VLOOKUP(Master!BH16,Master!BH$35:BK$45,4,FALSE())</f>
        <v> </v>
      </c>
      <c r="E15" s="98" t="str">
        <f aca="false">VLOOKUP(Master!BH16,Master!BH$35:BL$45,5,FALSE())</f>
        <v> </v>
      </c>
      <c r="F15" s="98" t="str">
        <f aca="false">INDEX(Master!$C$2:$BL$2,1,MATCH("X",Master!$C16:$BL16,0))</f>
        <v>Don Stuart</v>
      </c>
      <c r="G15" s="98" t="str">
        <f aca="false">INDEX(Master!$C$2:$BL$2,1,MATCH("C",Master!$C16:$BL16,0))</f>
        <v>Bill Stacy</v>
      </c>
      <c r="H15" s="98" t="str">
        <f aca="false">INDEX(Master!$C$2:$BL$2,1,MATCH("M",Master!$C16:$BL16,0))</f>
        <v>David Phillips</v>
      </c>
      <c r="I15" s="98" t="str">
        <f aca="false">INDEX(Master!$C$2:$BL$2,1,MATCH("W",Master!$C16:$BL16,0))</f>
        <v>Martin Lambert</v>
      </c>
      <c r="J15" s="98" t="str">
        <f aca="false">INDEX(Master!$C$2:$BL$2,1,MATCH("M",Master!$C15:$BL15,0))</f>
        <v>Ed McAlister</v>
      </c>
      <c r="K15" s="98" t="str">
        <f aca="false">Master!BI16</f>
        <v>Deep</v>
      </c>
      <c r="L15" s="99" t="n">
        <f aca="false">TIME(13,44-Master!BG16,0)</f>
        <v>0.555555555555556</v>
      </c>
      <c r="M15" s="98" t="str">
        <f aca="false">INDEX(Master!$C$2:$AT$2,1,MATCH(1,Master!$C16:$AT16,0))</f>
        <v>Chao-Shui Xu</v>
      </c>
      <c r="N15" s="100" t="str">
        <f aca="false">IF(Master!BJ16=0," ",Master!BJ16)</f>
        <v>Deep-Sea</v>
      </c>
      <c r="O15" s="101" t="n">
        <f aca="false">IF(Master!BA16=0," ",Master!BA16)</f>
        <v>5</v>
      </c>
      <c r="P15" s="98" t="str">
        <f aca="false">INDEX(Master!$C$2:$AT$2,1,MATCH(2,Master!$C16:$AT16,0))</f>
        <v>Rolf Prager</v>
      </c>
      <c r="Q15" s="100" t="str">
        <f aca="false">IF(Master!BK16=0," ",Master!BK16)</f>
        <v>Deep Space</v>
      </c>
      <c r="R15" s="101" t="n">
        <f aca="false">IF(Master!BB16=0," ",Master!BB16)</f>
        <v>5</v>
      </c>
      <c r="S15" s="98" t="str">
        <f aca="false">INDEX(Master!$C$2:$AT$2,1,MATCH(3,Master!$C16:$AT16,0))</f>
        <v>David Knight</v>
      </c>
      <c r="T15" s="100" t="str">
        <f aca="false">IF(Master!BL16=0," ",Master!BL16)</f>
        <v>Deep-Fried</v>
      </c>
      <c r="U15" s="101" t="n">
        <f aca="false">IF(Master!BC16=0," ",Master!BC16)</f>
        <v>5</v>
      </c>
      <c r="V15" s="98" t="str">
        <f aca="false">INDEX(Master!$C$2:$AT$2,1,MATCH(4,Master!$C16:$AT16,0))</f>
        <v>Barry Grear</v>
      </c>
      <c r="W15" s="100" t="str">
        <f aca="false">IF(Master!BM16=0," ",Master!BM16)</f>
        <v>Deep Vein Thrombosis</v>
      </c>
      <c r="X15" s="101" t="n">
        <f aca="false">IF(Master!BD16=0," ",Master!BD16)</f>
        <v>5</v>
      </c>
      <c r="Y15" s="98" t="str">
        <f aca="false">INDEX(Master!$C$2:$AT$2,1,MATCH(5,Master!$C16:$AT16,0))</f>
        <v> </v>
      </c>
      <c r="Z15" s="100" t="str">
        <f aca="false">IF(Master!BN16=0," ",Master!BN16)</f>
        <v> </v>
      </c>
      <c r="AA15" s="101" t="str">
        <f aca="false">IF(Master!BE16=0," ",Master!BE16)</f>
        <v> </v>
      </c>
      <c r="AB15" s="98" t="str">
        <f aca="false">INDEX(Master!$C$2:$AT$2,1,MATCH(6,Master!$C16:$AT16,0))</f>
        <v> </v>
      </c>
      <c r="AC15" s="100" t="str">
        <f aca="false">IF(Master!BO16=0," ",Master!BO16)</f>
        <v> </v>
      </c>
      <c r="AD15" s="101" t="str">
        <f aca="false">IF(Master!BF16=0," ",Master!BF16)</f>
        <v> </v>
      </c>
      <c r="AE15" s="98" t="str">
        <f aca="false">INDEX(Master!$C$2:$AT$2,1,MATCH(6,Master!$C11:$AT11,0))</f>
        <v> </v>
      </c>
    </row>
    <row r="16" customFormat="false" ht="17.25" hidden="false" customHeight="true" outlineLevel="0" collapsed="false">
      <c r="A16" s="96" t="n">
        <f aca="false">Master!A17</f>
        <v>3340</v>
      </c>
      <c r="B16" s="97" t="n">
        <f aca="false">Master!B17</f>
        <v>40817</v>
      </c>
      <c r="C16" s="98" t="str">
        <f aca="false">VLOOKUP(Master!BH17,Master!BH$35:BI$45,2,FALSE())</f>
        <v>Family Day</v>
      </c>
      <c r="D16" s="98" t="str">
        <f aca="false">VLOOKUP(Master!BH17,Master!BH$35:BK$45,4,FALSE())</f>
        <v> </v>
      </c>
      <c r="E16" s="98" t="str">
        <f aca="false">VLOOKUP(Master!BH17,Master!BH$35:BL$45,5,FALSE())</f>
        <v> </v>
      </c>
      <c r="F16" s="98" t="str">
        <f aca="false">INDEX(Master!$C$2:$BL$2,1,MATCH("X",Master!$C17:$BL17,0))</f>
        <v>Don Stuart</v>
      </c>
      <c r="G16" s="98" t="str">
        <f aca="false">INDEX(Master!$C$2:$BL$2,1,MATCH("C",Master!$C17:$BL17,0))</f>
        <v>Barry Grear</v>
      </c>
      <c r="H16" s="98" t="str">
        <f aca="false">INDEX(Master!$C$2:$BL$2,1,MATCH("M",Master!$C17:$BL17,0))</f>
        <v>Rolf Prager</v>
      </c>
      <c r="I16" s="98" t="str">
        <f aca="false">INDEX(Master!$C$2:$BL$2,1,MATCH("W",Master!$C17:$BL17,0))</f>
        <v>Jim Stewart</v>
      </c>
      <c r="J16" s="98" t="str">
        <f aca="false">INDEX(Master!$C$2:$BL$2,1,MATCH("M",Master!$C16:$BL16,0))</f>
        <v>David Phillips</v>
      </c>
      <c r="K16" s="98" t="str">
        <f aca="false">Master!BI17</f>
        <v>Wilde Statements</v>
      </c>
      <c r="L16" s="99" t="n">
        <f aca="false">TIME(13,44-Master!BG17,0)</f>
        <v>0.555555555555556</v>
      </c>
      <c r="M16" s="98" t="str">
        <f aca="false">INDEX(Master!$C$2:$AT$2,1,MATCH(1,Master!$C17:$AT17,0))</f>
        <v>Terry Anderson</v>
      </c>
      <c r="N16" s="100" t="str">
        <f aca="false">IF(Master!BJ17=0," ",Master!BJ17)</f>
        <v>He hadn't a single redeeming vice.</v>
      </c>
      <c r="O16" s="101" t="n">
        <f aca="false">IF(Master!BA17=0," ",Master!BA17)</f>
        <v>5</v>
      </c>
      <c r="P16" s="98" t="str">
        <f aca="false">INDEX(Master!$C$2:$AT$2,1,MATCH(2,Master!$C17:$AT17,0))</f>
        <v>Martin Lambert</v>
      </c>
      <c r="Q16" s="100" t="str">
        <f aca="false">IF(Master!BK17=0," ",Master!BK17)</f>
        <v>Acting is much more real than real life.</v>
      </c>
      <c r="R16" s="101" t="n">
        <f aca="false">IF(Master!BB17=0," ",Master!BB17)</f>
        <v>5</v>
      </c>
      <c r="S16" s="98" t="str">
        <f aca="false">INDEX(Master!$C$2:$AT$2,1,MATCH(3,Master!$C17:$AT17,0))</f>
        <v>Ed McAlister</v>
      </c>
      <c r="T16" s="100" t="str">
        <f aca="false">IF(Master!BL17=0," ",Master!BL17)</f>
        <v>A true friend stabs you in the front.</v>
      </c>
      <c r="U16" s="101" t="n">
        <f aca="false">IF(Master!BC17=0," ",Master!BC17)</f>
        <v>5</v>
      </c>
      <c r="V16" s="98" t="str">
        <f aca="false">INDEX(Master!$C$2:$AT$2,1,MATCH(4,Master!$C17:$AT17,0))</f>
        <v>Doug Aylen</v>
      </c>
      <c r="W16" s="100" t="str">
        <f aca="false">IF(Master!BM17=0," ",Master!BM17)</f>
        <v>I can resist everything except temptation.</v>
      </c>
      <c r="X16" s="101" t="n">
        <f aca="false">IF(Master!BD17=0," ",Master!BD17)</f>
        <v>5</v>
      </c>
      <c r="Y16" s="98" t="str">
        <f aca="false">INDEX(Master!$C$2:$AT$2,1,MATCH(5,Master!$C17:$AT17,0))</f>
        <v> </v>
      </c>
      <c r="Z16" s="100" t="str">
        <f aca="false">IF(Master!BN17=0," ",Master!BN17)</f>
        <v> </v>
      </c>
      <c r="AA16" s="101" t="str">
        <f aca="false">IF(Master!BE17=0," ",Master!BE17)</f>
        <v> </v>
      </c>
      <c r="AB16" s="98" t="str">
        <f aca="false">INDEX(Master!$C$2:$AT$2,1,MATCH(6,Master!$C17:$AT17,0))</f>
        <v> </v>
      </c>
      <c r="AC16" s="100" t="str">
        <f aca="false">IF(Master!BO17=0," ",Master!BO17)</f>
        <v> </v>
      </c>
      <c r="AD16" s="101" t="str">
        <f aca="false">IF(Master!BF17=0," ",Master!BF17)</f>
        <v> </v>
      </c>
      <c r="AE16" s="98" t="str">
        <f aca="false">INDEX(Master!$C$2:$AT$2,1,MATCH(6,Master!$C12:$AT12,0))</f>
        <v> </v>
      </c>
    </row>
    <row r="17" customFormat="false" ht="17.25" hidden="false" customHeight="true" outlineLevel="0" collapsed="false">
      <c r="A17" s="96" t="n">
        <f aca="false">Master!A18</f>
        <v>3341</v>
      </c>
      <c r="B17" s="97" t="n">
        <f aca="false">Master!B18</f>
        <v>40824</v>
      </c>
      <c r="C17" s="98" t="str">
        <f aca="false">VLOOKUP(Master!BH18,Master!BH$35:BI$45,2,FALSE())</f>
        <v>Normal Meeting</v>
      </c>
      <c r="D17" s="98" t="str">
        <f aca="false">VLOOKUP(Master!BH18,Master!BH$35:BK$45,4,FALSE())</f>
        <v> </v>
      </c>
      <c r="E17" s="98" t="str">
        <f aca="false">VLOOKUP(Master!BH18,Master!BH$35:BL$45,5,FALSE())</f>
        <v> </v>
      </c>
      <c r="F17" s="98" t="str">
        <f aca="false">INDEX(Master!$C$2:$BL$2,1,MATCH("X",Master!$C18:$BL18,0))</f>
        <v>Don Stuart</v>
      </c>
      <c r="G17" s="98" t="str">
        <f aca="false">INDEX(Master!$C$2:$BL$2,1,MATCH("C",Master!$C18:$BL18,0))</f>
        <v>Russell Cutting</v>
      </c>
      <c r="H17" s="98" t="str">
        <f aca="false">INDEX(Master!$C$2:$BL$2,1,MATCH("M",Master!$C18:$BL18,0))</f>
        <v>Viv Samuel</v>
      </c>
      <c r="I17" s="98" t="str">
        <f aca="false">INDEX(Master!$C$2:$BL$2,1,MATCH("W",Master!$C18:$BL18,0))</f>
        <v>Doug Aylen</v>
      </c>
      <c r="J17" s="98" t="str">
        <f aca="false">INDEX(Master!$C$2:$BL$2,1,MATCH("M",Master!$C17:$BL17,0))</f>
        <v>Rolf Prager</v>
      </c>
      <c r="K17" s="98" t="str">
        <f aca="false">Master!BI18</f>
        <v>Square</v>
      </c>
      <c r="L17" s="99" t="n">
        <f aca="false">TIME(13,44-Master!BG18,0)</f>
        <v>0.555555555555556</v>
      </c>
      <c r="M17" s="98" t="str">
        <f aca="false">INDEX(Master!$C$2:$AT$2,1,MATCH(1,Master!$C18:$AT18,0))</f>
        <v>David Phillips</v>
      </c>
      <c r="N17" s="100" t="str">
        <f aca="false">IF(Master!BJ18=0," ",Master!BJ18)</f>
        <v>Square Peg</v>
      </c>
      <c r="O17" s="101" t="n">
        <f aca="false">IF(Master!BA18=0," ",Master!BA18)</f>
        <v>5</v>
      </c>
      <c r="P17" s="98" t="str">
        <f aca="false">INDEX(Master!$C$2:$AT$2,1,MATCH(2,Master!$C18:$AT18,0))</f>
        <v>Bill Stacy</v>
      </c>
      <c r="Q17" s="100" t="str">
        <f aca="false">IF(Master!BK18=0," ",Master!BK18)</f>
        <v>Square Deal</v>
      </c>
      <c r="R17" s="101" t="n">
        <f aca="false">IF(Master!BB18=0," ",Master!BB18)</f>
        <v>5</v>
      </c>
      <c r="S17" s="98" t="str">
        <f aca="false">INDEX(Master!$C$2:$AT$2,1,MATCH(3,Master!$C18:$AT18,0))</f>
        <v>Norm Duncan</v>
      </c>
      <c r="T17" s="100" t="str">
        <f aca="false">IF(Master!BL18=0," ",Master!BL18)</f>
        <v>On the Square</v>
      </c>
      <c r="U17" s="101" t="n">
        <f aca="false">IF(Master!BC18=0," ",Master!BC18)</f>
        <v>5</v>
      </c>
      <c r="V17" s="98" t="str">
        <f aca="false">INDEX(Master!$C$2:$AT$2,1,MATCH(4,Master!$C18:$AT18,0))</f>
        <v>Peter Martindale</v>
      </c>
      <c r="W17" s="100" t="str">
        <f aca="false">IF(Master!BM18=0," ",Master!BM18)</f>
        <v>Squaring the Circle</v>
      </c>
      <c r="X17" s="101" t="n">
        <f aca="false">IF(Master!BD18=0," ",Master!BD18)</f>
        <v>5</v>
      </c>
      <c r="Y17" s="98" t="str">
        <f aca="false">INDEX(Master!$C$2:$AT$2,1,MATCH(5,Master!$C18:$AT18,0))</f>
        <v> </v>
      </c>
      <c r="Z17" s="100" t="str">
        <f aca="false">IF(Master!BN18=0," ",Master!BN18)</f>
        <v> </v>
      </c>
      <c r="AA17" s="101" t="str">
        <f aca="false">IF(Master!BE18=0," ",Master!BE18)</f>
        <v> </v>
      </c>
      <c r="AB17" s="98" t="str">
        <f aca="false">INDEX(Master!$C$2:$AT$2,1,MATCH(6,Master!$C18:$AT18,0))</f>
        <v> </v>
      </c>
      <c r="AC17" s="100" t="str">
        <f aca="false">IF(Master!BO18=0," ",Master!BO18)</f>
        <v> </v>
      </c>
      <c r="AD17" s="101" t="str">
        <f aca="false">IF(Master!BF18=0," ",Master!BF18)</f>
        <v> </v>
      </c>
      <c r="AE17" s="98" t="str">
        <f aca="false">INDEX(Master!$C$2:$AT$2,1,MATCH(6,Master!$C13:$AT13,0))</f>
        <v> </v>
      </c>
    </row>
    <row r="18" customFormat="false" ht="17.25" hidden="false" customHeight="true" outlineLevel="0" collapsed="false">
      <c r="A18" s="96" t="n">
        <f aca="false">Master!A19</f>
        <v>3342</v>
      </c>
      <c r="B18" s="97" t="n">
        <f aca="false">Master!B19</f>
        <v>40831</v>
      </c>
      <c r="C18" s="98" t="str">
        <f aca="false">VLOOKUP(Master!BH19,Master!BH$35:BI$45,2,FALSE())</f>
        <v>Normal Meeting</v>
      </c>
      <c r="D18" s="98" t="str">
        <f aca="false">VLOOKUP(Master!BH19,Master!BH$35:BK$45,4,FALSE())</f>
        <v> </v>
      </c>
      <c r="E18" s="98" t="str">
        <f aca="false">VLOOKUP(Master!BH19,Master!BH$35:BL$45,5,FALSE())</f>
        <v> </v>
      </c>
      <c r="F18" s="98" t="str">
        <f aca="false">INDEX(Master!$C$2:$BL$2,1,MATCH("X",Master!$C19:$BL19,0))</f>
        <v>Don Stuart</v>
      </c>
      <c r="G18" s="98" t="str">
        <f aca="false">INDEX(Master!$C$2:$BL$2,1,MATCH("C",Master!$C19:$BL19,0))</f>
        <v>Norm Duncan</v>
      </c>
      <c r="H18" s="98" t="str">
        <f aca="false">INDEX(Master!$C$2:$BL$2,1,MATCH("M",Master!$C19:$BL19,0))</f>
        <v>Bill Stacy</v>
      </c>
      <c r="I18" s="98" t="str">
        <f aca="false">INDEX(Master!$C$2:$BL$2,1,MATCH("W",Master!$C19:$BL19,0))</f>
        <v>Kym Beverley</v>
      </c>
      <c r="J18" s="98" t="str">
        <f aca="false">INDEX(Master!$C$2:$BL$2,1,MATCH("M",Master!$C18:$BL18,0))</f>
        <v>Viv Samuel</v>
      </c>
      <c r="K18" s="98" t="str">
        <f aca="false">Master!BI19</f>
        <v>Bail</v>
      </c>
      <c r="L18" s="99" t="n">
        <f aca="false">TIME(13,44-Master!BG19,0)</f>
        <v>0.555555555555556</v>
      </c>
      <c r="M18" s="98" t="str">
        <f aca="false">INDEX(Master!$C$2:$AT$2,1,MATCH(1,Master!$C19:$AT19,0))</f>
        <v>Doug Aylen</v>
      </c>
      <c r="N18" s="100" t="str">
        <f aca="false">IF(Master!BJ19=0," ",Master!BJ19)</f>
        <v>Bail Out</v>
      </c>
      <c r="O18" s="101" t="n">
        <f aca="false">IF(Master!BA19=0," ",Master!BA19)</f>
        <v>7</v>
      </c>
      <c r="P18" s="98" t="str">
        <f aca="false">INDEX(Master!$C$2:$AT$2,1,MATCH(2,Master!$C19:$AT19,0))</f>
        <v>Young-Il Kim</v>
      </c>
      <c r="Q18" s="100" t="str">
        <f aca="false">IF(Master!BK19=0," ",Master!BK19)</f>
        <v>Bail Up</v>
      </c>
      <c r="R18" s="101" t="n">
        <f aca="false">IF(Master!BB19=0," ",Master!BB19)</f>
        <v>7</v>
      </c>
      <c r="S18" s="98" t="str">
        <f aca="false">INDEX(Master!$C$2:$AT$2,1,MATCH(3,Master!$C19:$AT19,0))</f>
        <v>Russell Cutting</v>
      </c>
      <c r="T18" s="100" t="str">
        <f aca="false">IF(Master!BL19=0," ",Master!BL19)</f>
        <v>Give Leg Bail</v>
      </c>
      <c r="U18" s="101" t="n">
        <f aca="false">IF(Master!BC19=0," ",Master!BC19)</f>
        <v>7</v>
      </c>
      <c r="V18" s="98" t="str">
        <f aca="false">INDEX(Master!$C$2:$AT$2,1,MATCH(4,Master!$C19:$AT19,0))</f>
        <v> </v>
      </c>
      <c r="W18" s="100" t="str">
        <f aca="false">IF(Master!BM19=0," ",Master!BM19)</f>
        <v> </v>
      </c>
      <c r="X18" s="101" t="str">
        <f aca="false">IF(Master!BD19=0," ",Master!BD19)</f>
        <v> </v>
      </c>
      <c r="Y18" s="98" t="str">
        <f aca="false">INDEX(Master!$C$2:$AT$2,1,MATCH(5,Master!$C19:$AT19,0))</f>
        <v> </v>
      </c>
      <c r="Z18" s="100" t="str">
        <f aca="false">IF(Master!BN19=0," ",Master!BN19)</f>
        <v> </v>
      </c>
      <c r="AA18" s="101" t="str">
        <f aca="false">IF(Master!BE19=0," ",Master!BE19)</f>
        <v> </v>
      </c>
      <c r="AB18" s="98" t="str">
        <f aca="false">INDEX(Master!$C$2:$AT$2,1,MATCH(6,Master!$C19:$AT19,0))</f>
        <v> </v>
      </c>
      <c r="AC18" s="100" t="str">
        <f aca="false">IF(Master!BO19=0," ",Master!BO19)</f>
        <v> </v>
      </c>
      <c r="AD18" s="101" t="str">
        <f aca="false">IF(Master!BF19=0," ",Master!BF19)</f>
        <v> </v>
      </c>
      <c r="AE18" s="98" t="str">
        <f aca="false">INDEX(Master!$C$2:$AT$2,1,MATCH(6,Master!$C14:$AT14,0))</f>
        <v> </v>
      </c>
    </row>
    <row r="19" customFormat="false" ht="17.25" hidden="false" customHeight="true" outlineLevel="0" collapsed="false">
      <c r="A19" s="96" t="n">
        <f aca="false">Master!A20</f>
        <v>3343</v>
      </c>
      <c r="B19" s="97" t="n">
        <f aca="false">Master!B20</f>
        <v>40838</v>
      </c>
      <c r="C19" s="98" t="str">
        <f aca="false">VLOOKUP(Master!BH20,Master!BH$35:BI$45,2,FALSE())</f>
        <v>Normal Meeting</v>
      </c>
      <c r="D19" s="98" t="str">
        <f aca="false">VLOOKUP(Master!BH20,Master!BH$35:BK$45,4,FALSE())</f>
        <v> </v>
      </c>
      <c r="E19" s="98" t="str">
        <f aca="false">VLOOKUP(Master!BH20,Master!BH$35:BL$45,5,FALSE())</f>
        <v> </v>
      </c>
      <c r="F19" s="98" t="str">
        <f aca="false">INDEX(Master!$C$2:$BL$2,1,MATCH("X",Master!$C20:$BL20,0))</f>
        <v>Don Stuart</v>
      </c>
      <c r="G19" s="98" t="str">
        <f aca="false">INDEX(Master!$C$2:$BL$2,1,MATCH("C",Master!$C20:$BL20,0))</f>
        <v>Chao-Shui Xu</v>
      </c>
      <c r="H19" s="98" t="str">
        <f aca="false">INDEX(Master!$C$2:$BL$2,1,MATCH("M",Master!$C20:$BL20,0))</f>
        <v>Doug Aylen</v>
      </c>
      <c r="I19" s="98" t="str">
        <f aca="false">INDEX(Master!$C$2:$BL$2,1,MATCH("W",Master!$C20:$BL20,0))</f>
        <v>Russell Cutting</v>
      </c>
      <c r="J19" s="98" t="str">
        <f aca="false">INDEX(Master!$C$2:$BL$2,1,MATCH("M",Master!$C19:$BL19,0))</f>
        <v>Bill Stacy</v>
      </c>
      <c r="K19" s="98" t="str">
        <f aca="false">Master!BI20</f>
        <v>Perplexing Partners 1</v>
      </c>
      <c r="L19" s="99" t="n">
        <f aca="false">TIME(13,44-Master!BG20,0)</f>
        <v>0.555555555555556</v>
      </c>
      <c r="M19" s="98" t="str">
        <f aca="false">INDEX(Master!$C$2:$AT$2,1,MATCH(1,Master!$C20:$AT20,0))</f>
        <v>Volunteer</v>
      </c>
      <c r="N19" s="100" t="str">
        <f aca="false">IF(Master!BJ20=0," ",Master!BJ20)</f>
        <v>Never look a Gift Horse in the Mouth</v>
      </c>
      <c r="O19" s="101" t="n">
        <f aca="false">IF(Master!BA20=0," ",Master!BA20)</f>
        <v>3</v>
      </c>
      <c r="P19" s="98" t="str">
        <f aca="false">INDEX(Master!$C$2:$AT$2,1,MATCH(2,Master!$C20:$AT20,0))</f>
        <v>Volunteer</v>
      </c>
      <c r="Q19" s="100" t="str">
        <f aca="false">IF(Master!BK20=0," ",Master!BK20)</f>
        <v>Beware of Greeks bringing Gifts</v>
      </c>
      <c r="R19" s="101" t="n">
        <f aca="false">IF(Master!BB20=0," ",Master!BB20)</f>
        <v>3</v>
      </c>
      <c r="S19" s="98" t="str">
        <f aca="false">INDEX(Master!$C$2:$AT$2,1,MATCH(3,Master!$C20:$AT20,0))</f>
        <v>Volunteer</v>
      </c>
      <c r="T19" s="100" t="str">
        <f aca="false">IF(Master!BL20=0," ",Master!BL20)</f>
        <v>Many Hands Make Light Work</v>
      </c>
      <c r="U19" s="101" t="n">
        <f aca="false">IF(Master!BC20=0," ",Master!BC20)</f>
        <v>3</v>
      </c>
      <c r="V19" s="98" t="str">
        <f aca="false">INDEX(Master!$C$2:$AT$2,1,MATCH(4,Master!$C20:$AT20,0))</f>
        <v>Volunteer</v>
      </c>
      <c r="W19" s="100" t="str">
        <f aca="false">IF(Master!BM20=0," ",Master!BM20)</f>
        <v>Too Many Cooks Spoil the Broth</v>
      </c>
      <c r="X19" s="101" t="n">
        <f aca="false">IF(Master!BD20=0," ",Master!BD20)</f>
        <v>3</v>
      </c>
      <c r="Y19" s="98" t="str">
        <f aca="false">INDEX(Master!$C$2:$AT$2,1,MATCH(5,Master!$C20:$AT20,0))</f>
        <v>Volunteer</v>
      </c>
      <c r="Z19" s="100" t="str">
        <f aca="false">IF(Master!BN20=0," ",Master!BN20)</f>
        <v>Two Heads are Better than One</v>
      </c>
      <c r="AA19" s="101" t="n">
        <f aca="false">IF(Master!BE20=0," ",Master!BE20)</f>
        <v>3</v>
      </c>
      <c r="AB19" s="98" t="str">
        <f aca="false">INDEX(Master!$C$2:$AT$2,1,MATCH(6,Master!$C20:$AT20,0))</f>
        <v>Volunteer</v>
      </c>
      <c r="AC19" s="100" t="str">
        <f aca="false">IF(Master!BO20=0," ",Master!BO20)</f>
        <v>Two of a Trade Never Agree</v>
      </c>
      <c r="AD19" s="101" t="n">
        <f aca="false">IF(Master!BF20=0," ",Master!BF20)</f>
        <v>3</v>
      </c>
      <c r="AE19" s="98" t="str">
        <f aca="false">INDEX(Master!$C$2:$AT$2,1,MATCH(6,Master!$C15:$AT15,0))</f>
        <v> </v>
      </c>
    </row>
    <row r="20" customFormat="false" ht="17.25" hidden="false" customHeight="true" outlineLevel="0" collapsed="false">
      <c r="A20" s="96" t="n">
        <f aca="false">Master!A21</f>
        <v>3344</v>
      </c>
      <c r="B20" s="97" t="n">
        <f aca="false">Master!B21</f>
        <v>40845</v>
      </c>
      <c r="C20" s="98" t="str">
        <f aca="false">VLOOKUP(Master!BH21,Master!BH$35:BI$45,2,FALSE())</f>
        <v>Fifth Friday Frolic</v>
      </c>
      <c r="D20" s="98" t="str">
        <f aca="false">VLOOKUP(Master!BH21,Master!BH$35:BK$45,4,FALSE())</f>
        <v> </v>
      </c>
      <c r="E20" s="98" t="str">
        <f aca="false">VLOOKUP(Master!BH21,Master!BH$35:BL$45,5,FALSE())</f>
        <v> </v>
      </c>
      <c r="F20" s="98" t="str">
        <f aca="false">INDEX(Master!$C$2:$BL$2,1,MATCH("X",Master!$C21:$BL21,0))</f>
        <v>Don Stuart</v>
      </c>
      <c r="G20" s="98" t="str">
        <f aca="false">INDEX(Master!$C$2:$BL$2,1,MATCH("C",Master!$C21:$BL21,0))</f>
        <v>Doug Aylen</v>
      </c>
      <c r="H20" s="98" t="str">
        <f aca="false">INDEX(Master!$C$2:$BL$2,1,MATCH("M",Master!$C21:$BL21,0))</f>
        <v>David Phillips</v>
      </c>
      <c r="I20" s="98" t="str">
        <f aca="false">INDEX(Master!$C$2:$BL$2,1,MATCH("W",Master!$C21:$BL21,0))</f>
        <v>Arthur Daw</v>
      </c>
      <c r="J20" s="98" t="str">
        <f aca="false">INDEX(Master!$C$2:$BL$2,1,MATCH("M",Master!$C20:$BL20,0))</f>
        <v>Doug Aylen</v>
      </c>
      <c r="K20" s="98" t="str">
        <f aca="false">Master!BI21</f>
        <v>French</v>
      </c>
      <c r="L20" s="99" t="n">
        <f aca="false">TIME(13,44-Master!BG21,0)</f>
        <v>0.555555555555556</v>
      </c>
      <c r="M20" s="98" t="str">
        <f aca="false">INDEX(Master!$C$2:$AT$2,1,MATCH(1,Master!$C21:$AT21,0))</f>
        <v>Kym Beverley</v>
      </c>
      <c r="N20" s="100" t="str">
        <f aca="false">IF(Master!BJ21=0," ",Master!BJ21)</f>
        <v>Chacun à son goût</v>
      </c>
      <c r="O20" s="101" t="n">
        <f aca="false">IF(Master!BA21=0," ",Master!BA21)</f>
        <v>5</v>
      </c>
      <c r="P20" s="98" t="str">
        <f aca="false">INDEX(Master!$C$2:$AT$2,1,MATCH(2,Master!$C21:$AT21,0))</f>
        <v>Barry Dwyer</v>
      </c>
      <c r="Q20" s="100" t="str">
        <f aca="false">IF(Master!BK21=0," ",Master!BK21)</f>
        <v>Faute de mieux</v>
      </c>
      <c r="R20" s="101" t="n">
        <f aca="false">IF(Master!BB21=0," ",Master!BB21)</f>
        <v>5</v>
      </c>
      <c r="S20" s="98" t="str">
        <f aca="false">INDEX(Master!$C$2:$AT$2,1,MATCH(3,Master!$C21:$AT21,0))</f>
        <v>Barry Grear</v>
      </c>
      <c r="T20" s="100" t="str">
        <f aca="false">IF(Master!BL21=0," ",Master!BL21)</f>
        <v>Noblesse oblige</v>
      </c>
      <c r="U20" s="101" t="n">
        <f aca="false">IF(Master!BC21=0," ",Master!BC21)</f>
        <v>5</v>
      </c>
      <c r="V20" s="98" t="str">
        <f aca="false">INDEX(Master!$C$2:$AT$2,1,MATCH(4,Master!$C21:$AT21,0))</f>
        <v>Viv Samuel</v>
      </c>
      <c r="W20" s="100" t="str">
        <f aca="false">IF(Master!BM21=0," ",Master!BM21)</f>
        <v>Raison d'être</v>
      </c>
      <c r="X20" s="101" t="n">
        <f aca="false">IF(Master!BD21=0," ",Master!BD21)</f>
        <v>5</v>
      </c>
      <c r="Y20" s="98" t="str">
        <f aca="false">INDEX(Master!$C$2:$AT$2,1,MATCH(5,Master!$C21:$AT21,0))</f>
        <v> </v>
      </c>
      <c r="Z20" s="100" t="str">
        <f aca="false">IF(Master!BN21=0," ",Master!BN21)</f>
        <v> </v>
      </c>
      <c r="AA20" s="101" t="str">
        <f aca="false">IF(Master!BE21=0," ",Master!BE21)</f>
        <v> </v>
      </c>
      <c r="AB20" s="98" t="str">
        <f aca="false">INDEX(Master!$C$2:$AT$2,1,MATCH(6,Master!$C21:$AT21,0))</f>
        <v> </v>
      </c>
      <c r="AC20" s="100" t="str">
        <f aca="false">IF(Master!BO21=0," ",Master!BO21)</f>
        <v> </v>
      </c>
      <c r="AD20" s="101" t="str">
        <f aca="false">IF(Master!BF21=0," ",Master!BF21)</f>
        <v> </v>
      </c>
      <c r="AE20" s="98" t="str">
        <f aca="false">INDEX(Master!$C$2:$AT$2,1,MATCH(6,Master!$C16:$AT16,0))</f>
        <v> </v>
      </c>
    </row>
    <row r="21" customFormat="false" ht="17.25" hidden="false" customHeight="true" outlineLevel="0" collapsed="false">
      <c r="A21" s="96" t="n">
        <f aca="false">Master!A22</f>
        <v>3345</v>
      </c>
      <c r="B21" s="97" t="n">
        <f aca="false">Master!B22</f>
        <v>40852</v>
      </c>
      <c r="C21" s="98" t="str">
        <f aca="false">VLOOKUP(Master!BH22,Master!BH$35:BI$45,2,FALSE())</f>
        <v>Business Meeting</v>
      </c>
      <c r="D21" s="98" t="str">
        <f aca="false">VLOOKUP(Master!BH22,Master!BH$35:BK$45,4,FALSE())</f>
        <v>Election of Officers</v>
      </c>
      <c r="E21" s="98" t="str">
        <f aca="false">VLOOKUP(Master!BH22,Master!BH$35:BL$45,5,FALSE())</f>
        <v> </v>
      </c>
      <c r="F21" s="98" t="str">
        <f aca="false">INDEX(Master!$C$2:$BL$2,1,MATCH("X",Master!$C22:$BL22,0))</f>
        <v>Don Stuart</v>
      </c>
      <c r="G21" s="98" t="str">
        <f aca="false">INDEX(Master!$C$2:$BL$2,1,MATCH("C",Master!$C22:$BL22,0))</f>
        <v>Jim Stewart</v>
      </c>
      <c r="H21" s="98" t="str">
        <f aca="false">INDEX(Master!$C$2:$BL$2,1,MATCH("M",Master!$C22:$BL22,0))</f>
        <v>Terry Anderson</v>
      </c>
      <c r="I21" s="98" t="str">
        <f aca="false">INDEX(Master!$C$2:$BL$2,1,MATCH("W",Master!$C22:$BL22,0))</f>
        <v>Norm Duncan</v>
      </c>
      <c r="J21" s="98" t="str">
        <f aca="false">INDEX(Master!$C$2:$BL$2,1,MATCH("M",Master!$C21:$BL21,0))</f>
        <v>David Phillips</v>
      </c>
      <c r="K21" s="98" t="str">
        <f aca="false">Master!BI22</f>
        <v>Perplexing Partners 2</v>
      </c>
      <c r="L21" s="99" t="n">
        <f aca="false">TIME(13,44-Master!BG22,0)</f>
        <v>0.555555555555556</v>
      </c>
      <c r="M21" s="98" t="str">
        <f aca="false">INDEX(Master!$C$2:$AT$2,1,MATCH(1,Master!$C22:$AT22,0))</f>
        <v>Volunteer</v>
      </c>
      <c r="N21" s="100" t="str">
        <f aca="false">IF(Master!BJ22=0," ",Master!BJ22)</f>
        <v>With Age Cometh Wisdom</v>
      </c>
      <c r="O21" s="101" t="n">
        <f aca="false">IF(Master!BA22=0," ",Master!BA22)</f>
        <v>3</v>
      </c>
      <c r="P21" s="98" t="str">
        <f aca="false">INDEX(Master!$C$2:$AT$2,1,MATCH(2,Master!$C22:$AT22,0))</f>
        <v>Volunteer</v>
      </c>
      <c r="Q21" s="100" t="str">
        <f aca="false">IF(Master!BK22=0," ",Master!BK22)</f>
        <v>No Fool like an Old Fool</v>
      </c>
      <c r="R21" s="101" t="n">
        <f aca="false">IF(Master!BB22=0," ",Master!BB22)</f>
        <v>3</v>
      </c>
      <c r="S21" s="98" t="str">
        <f aca="false">INDEX(Master!$C$2:$AT$2,1,MATCH(3,Master!$C22:$AT22,0))</f>
        <v>Volunteer</v>
      </c>
      <c r="T21" s="100" t="str">
        <f aca="false">IF(Master!BL22=0," ",Master!BL22)</f>
        <v>Tomorrow's Another Day</v>
      </c>
      <c r="U21" s="101" t="n">
        <f aca="false">IF(Master!BC22=0," ",Master!BC22)</f>
        <v>3</v>
      </c>
      <c r="V21" s="98" t="str">
        <f aca="false">INDEX(Master!$C$2:$AT$2,1,MATCH(4,Master!$C22:$AT22,0))</f>
        <v>Volunteer</v>
      </c>
      <c r="W21" s="100" t="str">
        <f aca="false">IF(Master!BM22=0," ",Master!BM22)</f>
        <v>Tomorrow Never Comes</v>
      </c>
      <c r="X21" s="101" t="n">
        <f aca="false">IF(Master!BD22=0," ",Master!BD22)</f>
        <v>3</v>
      </c>
      <c r="Y21" s="98" t="str">
        <f aca="false">INDEX(Master!$C$2:$AT$2,1,MATCH(5,Master!$C22:$AT22,0))</f>
        <v>Volunteer</v>
      </c>
      <c r="Z21" s="100" t="str">
        <f aca="false">IF(Master!BN22=0," ",Master!BN22)</f>
        <v>Great Minds Think Alike</v>
      </c>
      <c r="AA21" s="101" t="n">
        <f aca="false">IF(Master!BE22=0," ",Master!BE22)</f>
        <v>3</v>
      </c>
      <c r="AB21" s="98" t="str">
        <f aca="false">INDEX(Master!$C$2:$AT$2,1,MATCH(6,Master!$C22:$AT22,0))</f>
        <v>Volunteer</v>
      </c>
      <c r="AC21" s="100" t="str">
        <f aca="false">IF(Master!BO22=0," ",Master!BO22)</f>
        <v>Idiots Seldom Differ</v>
      </c>
      <c r="AD21" s="101" t="n">
        <f aca="false">IF(Master!BF22=0," ",Master!BF22)</f>
        <v>3</v>
      </c>
      <c r="AE21" s="98" t="str">
        <f aca="false">INDEX(Master!$C$2:$AT$2,1,MATCH(6,Master!$C17:$AT17,0))</f>
        <v> </v>
      </c>
    </row>
    <row r="22" customFormat="false" ht="17.25" hidden="false" customHeight="true" outlineLevel="0" collapsed="false">
      <c r="A22" s="96" t="n">
        <f aca="false">Master!A23</f>
        <v>3346</v>
      </c>
      <c r="B22" s="97" t="n">
        <f aca="false">Master!B23</f>
        <v>40859</v>
      </c>
      <c r="C22" s="98" t="str">
        <f aca="false">VLOOKUP(Master!BH23,Master!BH$35:BI$45,2,FALSE())</f>
        <v>Normal Meeting</v>
      </c>
      <c r="D22" s="98" t="str">
        <f aca="false">VLOOKUP(Master!BH23,Master!BH$35:BK$45,4,FALSE())</f>
        <v> </v>
      </c>
      <c r="E22" s="98" t="str">
        <f aca="false">VLOOKUP(Master!BH23,Master!BH$35:BL$45,5,FALSE())</f>
        <v> </v>
      </c>
      <c r="F22" s="98" t="str">
        <f aca="false">INDEX(Master!$C$2:$BL$2,1,MATCH("X",Master!$C23:$BL23,0))</f>
        <v>Don Stuart</v>
      </c>
      <c r="G22" s="98" t="str">
        <f aca="false">INDEX(Master!$C$2:$BL$2,1,MATCH("C",Master!$C23:$BL23,0))</f>
        <v>Barry Dwyer</v>
      </c>
      <c r="H22" s="98" t="str">
        <f aca="false">INDEX(Master!$C$2:$BL$2,1,MATCH("M",Master!$C23:$BL23,0))</f>
        <v>Chao-Shui Xu</v>
      </c>
      <c r="I22" s="98" t="str">
        <f aca="false">INDEX(Master!$C$2:$BL$2,1,MATCH("W",Master!$C23:$BL23,0))</f>
        <v>Bill Stacy</v>
      </c>
      <c r="J22" s="98" t="str">
        <f aca="false">INDEX(Master!$C$2:$BL$2,1,MATCH("M",Master!$C22:$BL22,0))</f>
        <v>Terry Anderson</v>
      </c>
      <c r="K22" s="98" t="str">
        <f aca="false">Master!BI23</f>
        <v>Commonplace Latin</v>
      </c>
      <c r="L22" s="99" t="n">
        <f aca="false">TIME(13,44-Master!BG23,0)</f>
        <v>0.555555555555556</v>
      </c>
      <c r="M22" s="98" t="str">
        <f aca="false">INDEX(Master!$C$2:$AT$2,1,MATCH(1,Master!$C23:$AT23,0))</f>
        <v>Ed McAlister</v>
      </c>
      <c r="N22" s="100" t="str">
        <f aca="false">IF(Master!BJ23=0," ",Master!BJ23)</f>
        <v>Alter Ego</v>
      </c>
      <c r="O22" s="101" t="n">
        <f aca="false">IF(Master!BA23=0," ",Master!BA23)</f>
        <v>6</v>
      </c>
      <c r="P22" s="98" t="str">
        <f aca="false">INDEX(Master!$C$2:$AT$2,1,MATCH(2,Master!$C23:$AT23,0))</f>
        <v>Arthur Daw</v>
      </c>
      <c r="Q22" s="100" t="str">
        <f aca="false">IF(Master!BK23=0," ",Master!BK23)</f>
        <v>Mens Sana in Corpore Sano</v>
      </c>
      <c r="R22" s="101" t="n">
        <f aca="false">IF(Master!BB23=0," ",Master!BB23)</f>
        <v>5</v>
      </c>
      <c r="S22" s="98" t="str">
        <f aca="false">INDEX(Master!$C$2:$AT$2,1,MATCH(3,Master!$C23:$AT23,0))</f>
        <v>Richard Smith</v>
      </c>
      <c r="T22" s="100" t="str">
        <f aca="false">IF(Master!BL23=0," ",Master!BL23)</f>
        <v>Quis Custodiet Ipsos Custodies?</v>
      </c>
      <c r="U22" s="101" t="n">
        <f aca="false">IF(Master!BC23=0," ",Master!BC23)</f>
        <v>10</v>
      </c>
      <c r="V22" s="98" t="str">
        <f aca="false">INDEX(Master!$C$2:$AT$2,1,MATCH(4,Master!$C23:$AT23,0))</f>
        <v> </v>
      </c>
      <c r="W22" s="100" t="str">
        <f aca="false">IF(Master!BM23=0," ",Master!BM23)</f>
        <v> </v>
      </c>
      <c r="X22" s="101" t="str">
        <f aca="false">IF(Master!BD23=0," ",Master!BD23)</f>
        <v> </v>
      </c>
      <c r="Y22" s="98" t="str">
        <f aca="false">INDEX(Master!$C$2:$AT$2,1,MATCH(5,Master!$C23:$AT23,0))</f>
        <v> </v>
      </c>
      <c r="Z22" s="100" t="str">
        <f aca="false">IF(Master!BN23=0," ",Master!BN23)</f>
        <v> </v>
      </c>
      <c r="AA22" s="101" t="str">
        <f aca="false">IF(Master!BE23=0," ",Master!BE23)</f>
        <v> </v>
      </c>
      <c r="AB22" s="98" t="str">
        <f aca="false">INDEX(Master!$C$2:$AT$2,1,MATCH(6,Master!$C23:$AT23,0))</f>
        <v> </v>
      </c>
      <c r="AC22" s="100" t="str">
        <f aca="false">IF(Master!BO23=0," ",Master!BO23)</f>
        <v> </v>
      </c>
      <c r="AD22" s="101" t="str">
        <f aca="false">IF(Master!BF23=0," ",Master!BF23)</f>
        <v> </v>
      </c>
      <c r="AE22" s="98" t="str">
        <f aca="false">INDEX(Master!$C$2:$AT$2,1,MATCH(6,Master!$C18:$AT18,0))</f>
        <v> </v>
      </c>
    </row>
    <row r="23" customFormat="false" ht="17.25" hidden="false" customHeight="true" outlineLevel="0" collapsed="false">
      <c r="A23" s="96" t="n">
        <f aca="false">Master!A24</f>
        <v>3347</v>
      </c>
      <c r="B23" s="97" t="n">
        <f aca="false">Master!B24</f>
        <v>40866</v>
      </c>
      <c r="C23" s="98" t="str">
        <f aca="false">VLOOKUP(Master!BH24,Master!BH$35:BI$45,2,FALSE())</f>
        <v>Normal Meeting</v>
      </c>
      <c r="D23" s="98" t="str">
        <f aca="false">VLOOKUP(Master!BH24,Master!BH$35:BK$45,4,FALSE())</f>
        <v> </v>
      </c>
      <c r="E23" s="98" t="str">
        <f aca="false">VLOOKUP(Master!BH24,Master!BH$35:BL$45,5,FALSE())</f>
        <v> </v>
      </c>
      <c r="F23" s="98" t="str">
        <f aca="false">INDEX(Master!$C$2:$BL$2,1,MATCH("X",Master!$C24:$BL24,0))</f>
        <v>Don Stuart</v>
      </c>
      <c r="G23" s="98" t="str">
        <f aca="false">INDEX(Master!$C$2:$BL$2,1,MATCH("C",Master!$C24:$BL24,0))</f>
        <v>Peter Martindale</v>
      </c>
      <c r="H23" s="98" t="str">
        <f aca="false">INDEX(Master!$C$2:$BL$2,1,MATCH("M",Master!$C24:$BL24,0))</f>
        <v>Kym Beverley</v>
      </c>
      <c r="I23" s="98" t="str">
        <f aca="false">INDEX(Master!$C$2:$BL$2,1,MATCH("W",Master!$C24:$BL24,0))</f>
        <v>Young-Il Kim</v>
      </c>
      <c r="J23" s="98" t="str">
        <f aca="false">INDEX(Master!$C$2:$BL$2,1,MATCH("M",Master!$C23:$BL23,0))</f>
        <v>Chao-Shui Xu</v>
      </c>
      <c r="K23" s="98" t="str">
        <f aca="false">Master!BI24</f>
        <v>Perplexing Partners 3</v>
      </c>
      <c r="L23" s="99" t="n">
        <f aca="false">TIME(13,44-Master!BG24,0)</f>
        <v>0.555555555555556</v>
      </c>
      <c r="M23" s="98" t="str">
        <f aca="false">INDEX(Master!$C$2:$AT$2,1,MATCH(1,Master!$C24:$AT24,0))</f>
        <v>Volunteer</v>
      </c>
      <c r="N23" s="100" t="str">
        <f aca="false">IF(Master!BJ24=0," ",Master!BJ24)</f>
        <v>Absence Makes the Heart Grow Fonder</v>
      </c>
      <c r="O23" s="101" t="n">
        <f aca="false">IF(Master!BA24=0," ",Master!BA24)</f>
        <v>3</v>
      </c>
      <c r="P23" s="98" t="str">
        <f aca="false">INDEX(Master!$C$2:$AT$2,1,MATCH(2,Master!$C24:$AT24,0))</f>
        <v>Volunteer</v>
      </c>
      <c r="Q23" s="100" t="str">
        <f aca="false">IF(Master!BK24=0," ",Master!BK24)</f>
        <v>Out of Sight, Out of Mind</v>
      </c>
      <c r="R23" s="101" t="n">
        <f aca="false">IF(Master!BB24=0," ",Master!BB24)</f>
        <v>3</v>
      </c>
      <c r="S23" s="98" t="str">
        <f aca="false">INDEX(Master!$C$2:$AT$2,1,MATCH(3,Master!$C24:$AT24,0))</f>
        <v>Volunteer</v>
      </c>
      <c r="T23" s="100" t="str">
        <f aca="false">IF(Master!BL24=0," ",Master!BL24)</f>
        <v>Never Judge a Book by its Cover</v>
      </c>
      <c r="U23" s="101" t="n">
        <f aca="false">IF(Master!BC24=0," ",Master!BC24)</f>
        <v>3</v>
      </c>
      <c r="V23" s="98" t="str">
        <f aca="false">INDEX(Master!$C$2:$AT$2,1,MATCH(4,Master!$C24:$AT24,0))</f>
        <v>Volunteer</v>
      </c>
      <c r="W23" s="100" t="str">
        <f aca="false">IF(Master!BM24=0," ",Master!BM24)</f>
        <v>First Impressions are usually Correct</v>
      </c>
      <c r="X23" s="101" t="n">
        <f aca="false">IF(Master!BD24=0," ",Master!BD24)</f>
        <v>3</v>
      </c>
      <c r="Y23" s="98" t="str">
        <f aca="false">INDEX(Master!$C$2:$AT$2,1,MATCH(5,Master!$C24:$AT24,0))</f>
        <v>Volunteer</v>
      </c>
      <c r="Z23" s="100" t="str">
        <f aca="false">IF(Master!BN24=0," ",Master!BN24)</f>
        <v>You're Never too Old to Learn</v>
      </c>
      <c r="AA23" s="101" t="n">
        <f aca="false">IF(Master!BE24=0," ",Master!BE24)</f>
        <v>3</v>
      </c>
      <c r="AB23" s="98" t="str">
        <f aca="false">INDEX(Master!$C$2:$AT$2,1,MATCH(6,Master!$C24:$AT24,0))</f>
        <v>Volunteer</v>
      </c>
      <c r="AC23" s="100" t="str">
        <f aca="false">IF(Master!BO24=0," ",Master!BO24)</f>
        <v>You Can't Teach an Old Dog New Tricks</v>
      </c>
      <c r="AD23" s="101" t="n">
        <f aca="false">IF(Master!BF24=0," ",Master!BF24)</f>
        <v>3</v>
      </c>
      <c r="AE23" s="98" t="str">
        <f aca="false">INDEX(Master!$C$2:$AT$2,1,MATCH(6,Master!$C19:$AT19,0))</f>
        <v> </v>
      </c>
    </row>
    <row r="24" customFormat="false" ht="17.25" hidden="false" customHeight="true" outlineLevel="0" collapsed="false">
      <c r="A24" s="96" t="n">
        <f aca="false">Master!A25</f>
        <v>3348</v>
      </c>
      <c r="B24" s="97" t="n">
        <f aca="false">Master!B25</f>
        <v>40873</v>
      </c>
      <c r="C24" s="98" t="str">
        <f aca="false">VLOOKUP(Master!BH25,Master!BH$35:BI$45,2,FALSE())</f>
        <v>Normal Meeting</v>
      </c>
      <c r="D24" s="98" t="str">
        <f aca="false">VLOOKUP(Master!BH25,Master!BH$35:BK$45,4,FALSE())</f>
        <v> </v>
      </c>
      <c r="E24" s="98" t="str">
        <f aca="false">VLOOKUP(Master!BH25,Master!BH$35:BL$45,5,FALSE())</f>
        <v> </v>
      </c>
      <c r="F24" s="98" t="str">
        <f aca="false">INDEX(Master!$C$2:$BL$2,1,MATCH("X",Master!$C25:$BL25,0))</f>
        <v>Don Stuart</v>
      </c>
      <c r="G24" s="98" t="str">
        <f aca="false">INDEX(Master!$C$2:$BL$2,1,MATCH("C",Master!$C25:$BL25,0))</f>
        <v>Norm Duncan</v>
      </c>
      <c r="H24" s="98" t="str">
        <f aca="false">INDEX(Master!$C$2:$BL$2,1,MATCH("M",Master!$C25:$BL25,0))</f>
        <v>Russell Cutting</v>
      </c>
      <c r="I24" s="98" t="str">
        <f aca="false">INDEX(Master!$C$2:$BL$2,1,MATCH("W",Master!$C25:$BL25,0))</f>
        <v>Richard Smith</v>
      </c>
      <c r="J24" s="98" t="str">
        <f aca="false">INDEX(Master!$C$2:$BL$2,1,MATCH("M",Master!$C24:$BL24,0))</f>
        <v>Kym Beverley</v>
      </c>
      <c r="K24" s="98" t="str">
        <f aca="false">Master!BI25</f>
        <v>Stumps</v>
      </c>
      <c r="L24" s="99" t="n">
        <f aca="false">TIME(13,44-Master!BG25,0)</f>
        <v>0.555555555555556</v>
      </c>
      <c r="M24" s="98" t="str">
        <f aca="false">INDEX(Master!$C$2:$AT$2,1,MATCH(1,Master!$C25:$AT25,0))</f>
        <v>Mark Williams</v>
      </c>
      <c r="N24" s="100" t="str">
        <f aca="false">IF(Master!BJ25=0," ",Master!BJ25)</f>
        <v>Completely Stumped</v>
      </c>
      <c r="O24" s="101" t="n">
        <f aca="false">IF(Master!BA25=0," ",Master!BA25)</f>
        <v>7</v>
      </c>
      <c r="P24" s="98" t="str">
        <f aca="false">INDEX(Master!$C$2:$AT$2,1,MATCH(2,Master!$C25:$AT25,0))</f>
        <v>Rolf Prager</v>
      </c>
      <c r="Q24" s="100" t="str">
        <f aca="false">IF(Master!BK25=0," ",Master!BK25)</f>
        <v>Tree Stump</v>
      </c>
      <c r="R24" s="101" t="n">
        <f aca="false">IF(Master!BB25=0," ",Master!BB25)</f>
        <v>7</v>
      </c>
      <c r="S24" s="98" t="str">
        <f aca="false">INDEX(Master!$C$2:$AT$2,1,MATCH(3,Master!$C25:$AT25,0))</f>
        <v>David Knight</v>
      </c>
      <c r="T24" s="100" t="str">
        <f aca="false">IF(Master!BL25=0," ",Master!BL25)</f>
        <v>Beyond the Black Stump</v>
      </c>
      <c r="U24" s="101" t="n">
        <f aca="false">IF(Master!BC25=0," ",Master!BC25)</f>
        <v>7</v>
      </c>
      <c r="V24" s="98" t="str">
        <f aca="false">INDEX(Master!$C$2:$AT$2,1,MATCH(4,Master!$C25:$AT25,0))</f>
        <v> </v>
      </c>
      <c r="W24" s="100" t="str">
        <f aca="false">IF(Master!BM25=0," ",Master!BM25)</f>
        <v> </v>
      </c>
      <c r="X24" s="101" t="str">
        <f aca="false">IF(Master!BD25=0," ",Master!BD25)</f>
        <v> </v>
      </c>
      <c r="Y24" s="98" t="str">
        <f aca="false">INDEX(Master!$C$2:$AT$2,1,MATCH(5,Master!$C25:$AT25,0))</f>
        <v> </v>
      </c>
      <c r="Z24" s="100" t="str">
        <f aca="false">IF(Master!BN25=0," ",Master!BN25)</f>
        <v> </v>
      </c>
      <c r="AA24" s="101" t="str">
        <f aca="false">IF(Master!BE25=0," ",Master!BE25)</f>
        <v> </v>
      </c>
      <c r="AB24" s="98" t="str">
        <f aca="false">INDEX(Master!$C$2:$AT$2,1,MATCH(6,Master!$C25:$AT25,0))</f>
        <v> </v>
      </c>
      <c r="AC24" s="100" t="str">
        <f aca="false">IF(Master!BO25=0," ",Master!BO25)</f>
        <v> </v>
      </c>
      <c r="AD24" s="101" t="str">
        <f aca="false">IF(Master!BF25=0," ",Master!BF25)</f>
        <v> </v>
      </c>
      <c r="AE24" s="98" t="str">
        <f aca="false">INDEX(Master!$C$2:$AT$2,1,MATCH(6,Master!$C20:$AT20,0))</f>
        <v>Volunteer</v>
      </c>
    </row>
    <row r="25" customFormat="false" ht="17.25" hidden="false" customHeight="true" outlineLevel="0" collapsed="false">
      <c r="A25" s="96" t="n">
        <f aca="false">Master!A26</f>
        <v>3349</v>
      </c>
      <c r="B25" s="97" t="n">
        <f aca="false">Master!B26</f>
        <v>40880</v>
      </c>
      <c r="C25" s="98" t="str">
        <f aca="false">VLOOKUP(Master!BH26,Master!BH$35:BI$45,2,FALSE())</f>
        <v>Normal Meeting</v>
      </c>
      <c r="D25" s="98" t="str">
        <f aca="false">VLOOKUP(Master!BH26,Master!BH$35:BK$45,4,FALSE())</f>
        <v> </v>
      </c>
      <c r="E25" s="98" t="str">
        <f aca="false">VLOOKUP(Master!BH26,Master!BH$35:BL$45,5,FALSE())</f>
        <v> </v>
      </c>
      <c r="F25" s="98" t="str">
        <f aca="false">INDEX(Master!$C$2:$BL$2,1,MATCH("X",Master!$C26:$BL26,0))</f>
        <v>Don Stuart</v>
      </c>
      <c r="G25" s="98" t="str">
        <f aca="false">INDEX(Master!$C$2:$BL$2,1,MATCH("C",Master!$C26:$BL26,0))</f>
        <v>Kym Beverley</v>
      </c>
      <c r="H25" s="98" t="str">
        <f aca="false">INDEX(Master!$C$2:$BL$2,1,MATCH("M",Master!$C26:$BL26,0))</f>
        <v>Barry Dwyer</v>
      </c>
      <c r="I25" s="98" t="str">
        <f aca="false">INDEX(Master!$C$2:$BL$2,1,MATCH("W",Master!$C26:$BL26,0))</f>
        <v>David Knight</v>
      </c>
      <c r="J25" s="98" t="str">
        <f aca="false">INDEX(Master!$C$2:$BL$2,1,MATCH("M",Master!$C25:$BL25,0))</f>
        <v>Russell Cutting</v>
      </c>
      <c r="K25" s="98" t="str">
        <f aca="false">Master!BI26</f>
        <v>Bats</v>
      </c>
      <c r="L25" s="99" t="n">
        <f aca="false">TIME(13,44-Master!BG26,0)</f>
        <v>0.555555555555556</v>
      </c>
      <c r="M25" s="98" t="str">
        <f aca="false">INDEX(Master!$C$2:$AT$2,1,MATCH(1,Master!$C26:$AT26,0))</f>
        <v>Doug Aylen</v>
      </c>
      <c r="N25" s="100" t="str">
        <f aca="false">IF(Master!BJ26=0," ",Master!BJ26)</f>
        <v>Bats in the Belfry</v>
      </c>
      <c r="O25" s="101" t="n">
        <f aca="false">IF(Master!BA26=0," ",Master!BA26)</f>
        <v>6</v>
      </c>
      <c r="P25" s="98" t="str">
        <f aca="false">INDEX(Master!$C$2:$AT$2,1,MATCH(2,Master!$C26:$AT26,0))</f>
        <v>Norm Duncan</v>
      </c>
      <c r="Q25" s="100" t="str">
        <f aca="false">IF(Master!BK26=0," ",Master!BK26)</f>
        <v>Bat out of Hell</v>
      </c>
      <c r="R25" s="101" t="n">
        <f aca="false">IF(Master!BB26=0," ",Master!BB26)</f>
        <v>4</v>
      </c>
      <c r="S25" s="98" t="str">
        <f aca="false">INDEX(Master!$C$2:$AT$2,1,MATCH(3,Master!$C26:$AT26,0))</f>
        <v>Martin Lambert</v>
      </c>
      <c r="T25" s="100" t="str">
        <f aca="false">IF(Master!BL26=0," ",Master!BL26)</f>
        <v>Don't Bat an Eye</v>
      </c>
      <c r="U25" s="101" t="n">
        <f aca="false">IF(Master!BC26=0," ",Master!BC26)</f>
        <v>6</v>
      </c>
      <c r="V25" s="98" t="str">
        <f aca="false">INDEX(Master!$C$2:$AT$2,1,MATCH(4,Master!$C26:$AT26,0))</f>
        <v>Ed McAlister</v>
      </c>
      <c r="W25" s="100" t="str">
        <f aca="false">IF(Master!BM26=0," ",Master!BM26)</f>
        <v>Blind as a Bat</v>
      </c>
      <c r="X25" s="101" t="n">
        <f aca="false">IF(Master!BD26=0," ",Master!BD26)</f>
        <v>4</v>
      </c>
      <c r="Y25" s="98" t="str">
        <f aca="false">INDEX(Master!$C$2:$AT$2,1,MATCH(5,Master!$C26:$AT26,0))</f>
        <v> </v>
      </c>
      <c r="Z25" s="100" t="str">
        <f aca="false">IF(Master!BN26=0," ",Master!BN26)</f>
        <v> </v>
      </c>
      <c r="AA25" s="101" t="str">
        <f aca="false">IF(Master!BE26=0," ",Master!BE26)</f>
        <v> </v>
      </c>
      <c r="AB25" s="98" t="str">
        <f aca="false">INDEX(Master!$C$2:$AT$2,1,MATCH(6,Master!$C26:$AT26,0))</f>
        <v> </v>
      </c>
      <c r="AC25" s="100" t="str">
        <f aca="false">IF(Master!BO26=0," ",Master!BO26)</f>
        <v> </v>
      </c>
      <c r="AD25" s="101" t="str">
        <f aca="false">IF(Master!BF26=0," ",Master!BF26)</f>
        <v> </v>
      </c>
      <c r="AE25" s="98" t="str">
        <f aca="false">INDEX(Master!$C$2:$AT$2,1,MATCH(6,Master!$C21:$AT21,0))</f>
        <v> </v>
      </c>
    </row>
    <row r="26" customFormat="false" ht="17.25" hidden="false" customHeight="true" outlineLevel="0" collapsed="false">
      <c r="A26" s="96" t="n">
        <f aca="false">Master!A27</f>
        <v>3350</v>
      </c>
      <c r="B26" s="97" t="n">
        <f aca="false">Master!B27</f>
        <v>40887</v>
      </c>
      <c r="C26" s="98" t="str">
        <f aca="false">VLOOKUP(Master!BH27,Master!BH$35:BI$45,2,FALSE())</f>
        <v>Normal Meeting</v>
      </c>
      <c r="D26" s="98" t="str">
        <f aca="false">VLOOKUP(Master!BH27,Master!BH$35:BK$45,4,FALSE())</f>
        <v> </v>
      </c>
      <c r="E26" s="98" t="str">
        <f aca="false">VLOOKUP(Master!BH27,Master!BH$35:BL$45,5,FALSE())</f>
        <v> </v>
      </c>
      <c r="F26" s="98" t="str">
        <f aca="false">INDEX(Master!$C$2:$BL$2,1,MATCH("X",Master!$C27:$BL27,0))</f>
        <v>Don Stuart</v>
      </c>
      <c r="G26" s="98" t="str">
        <f aca="false">INDEX(Master!$C$2:$BL$2,1,MATCH("C",Master!$C27:$BL27,0))</f>
        <v>Geoff Holden</v>
      </c>
      <c r="H26" s="98" t="str">
        <f aca="false">INDEX(Master!$C$2:$BL$2,1,MATCH("M",Master!$C27:$BL27,0))</f>
        <v>Barry Grear</v>
      </c>
      <c r="I26" s="98" t="str">
        <f aca="false">INDEX(Master!$C$2:$BL$2,1,MATCH("W",Master!$C27:$BL27,0))</f>
        <v>Peter Martindale</v>
      </c>
      <c r="J26" s="98" t="str">
        <f aca="false">INDEX(Master!$C$2:$BL$2,1,MATCH("M",Master!$C26:$BL26,0))</f>
        <v>Barry Dwyer</v>
      </c>
      <c r="K26" s="98" t="str">
        <f aca="false">Master!BI27</f>
        <v>Silly</v>
      </c>
      <c r="L26" s="99" t="n">
        <f aca="false">TIME(13,44-Master!BG27,0)</f>
        <v>0.557638888888889</v>
      </c>
      <c r="M26" s="98" t="str">
        <f aca="false">INDEX(Master!$C$2:$AT$2,1,MATCH(1,Master!$C27:$AT27,0))</f>
        <v>Chao-Shui Xu</v>
      </c>
      <c r="N26" s="100" t="str">
        <f aca="false">IF(Master!BJ27=0," ",Master!BJ27)</f>
        <v>Silly Season</v>
      </c>
      <c r="O26" s="101" t="n">
        <f aca="false">IF(Master!BA27=0," ",Master!BA27)</f>
        <v>6</v>
      </c>
      <c r="P26" s="98" t="str">
        <f aca="false">INDEX(Master!$C$2:$AT$2,1,MATCH(2,Master!$C27:$AT27,0))</f>
        <v>Bill Stacy</v>
      </c>
      <c r="Q26" s="100" t="str">
        <f aca="false">IF(Master!BK27=0," ",Master!BK27)</f>
        <v>Silly Money</v>
      </c>
      <c r="R26" s="101" t="n">
        <f aca="false">IF(Master!BB27=0," ",Master!BB27)</f>
        <v>6</v>
      </c>
      <c r="S26" s="98" t="str">
        <f aca="false">INDEX(Master!$C$2:$AT$2,1,MATCH(3,Master!$C27:$AT27,0))</f>
        <v>Terry Anderson</v>
      </c>
      <c r="T26" s="100" t="str">
        <f aca="false">IF(Master!BL27=0," ",Master!BL27)</f>
        <v>Silicon</v>
      </c>
      <c r="U26" s="101" t="n">
        <f aca="false">IF(Master!BC27=0," ",Master!BC27)</f>
        <v>6</v>
      </c>
      <c r="V26" s="98" t="str">
        <f aca="false">INDEX(Master!$C$2:$AT$2,1,MATCH(4,Master!$C27:$AT27,0))</f>
        <v> </v>
      </c>
      <c r="W26" s="100" t="str">
        <f aca="false">IF(Master!BM27=0," ",Master!BM27)</f>
        <v> </v>
      </c>
      <c r="X26" s="101" t="str">
        <f aca="false">IF(Master!BD27=0," ",Master!BD27)</f>
        <v> </v>
      </c>
      <c r="Y26" s="98" t="str">
        <f aca="false">INDEX(Master!$C$2:$AT$2,1,MATCH(5,Master!$C27:$AT27,0))</f>
        <v> </v>
      </c>
      <c r="Z26" s="100" t="str">
        <f aca="false">IF(Master!BN27=0," ",Master!BN27)</f>
        <v> </v>
      </c>
      <c r="AA26" s="101" t="str">
        <f aca="false">IF(Master!BE27=0," ",Master!BE27)</f>
        <v> </v>
      </c>
      <c r="AB26" s="98" t="str">
        <f aca="false">INDEX(Master!$C$2:$AT$2,1,MATCH(6,Master!$C27:$AT27,0))</f>
        <v> </v>
      </c>
      <c r="AC26" s="100" t="str">
        <f aca="false">IF(Master!BO27=0," ",Master!BO27)</f>
        <v> </v>
      </c>
      <c r="AD26" s="101" t="str">
        <f aca="false">IF(Master!BF27=0," ",Master!BF27)</f>
        <v> </v>
      </c>
      <c r="AE26" s="98" t="str">
        <f aca="false">INDEX(Master!$C$2:$AT$2,1,MATCH(6,Master!$C22:$AT22,0))</f>
        <v>Volunteer</v>
      </c>
    </row>
    <row r="27" customFormat="false" ht="17.25" hidden="false" customHeight="true" outlineLevel="0" collapsed="false">
      <c r="A27" s="96" t="n">
        <f aca="false">Master!A28</f>
        <v>3351</v>
      </c>
      <c r="B27" s="97" t="n">
        <f aca="false">Master!B28</f>
        <v>40894</v>
      </c>
      <c r="C27" s="98" t="str">
        <f aca="false">VLOOKUP(Master!BH28,Master!BH$35:BI$45,2,FALSE())</f>
        <v>Christmas Lunch</v>
      </c>
      <c r="D27" s="98" t="str">
        <f aca="false">VLOOKUP(Master!BH28,Master!BH$35:BK$45,4,FALSE())</f>
        <v>Corrupted Carols</v>
      </c>
      <c r="E27" s="98" t="str">
        <f aca="false">VLOOKUP(Master!BH28,Master!BH$35:BL$45,5,FALSE())</f>
        <v>Visit from Santa</v>
      </c>
      <c r="F27" s="98" t="str">
        <f aca="false">INDEX(Master!$C$2:$BL$2,1,MATCH("X",Master!$C28:$BL28,0))</f>
        <v>Don Stuart</v>
      </c>
      <c r="G27" s="98" t="str">
        <f aca="false">INDEX(Master!$C$2:$BL$2,1,MATCH("C",Master!$C28:$BL28,0))</f>
        <v>Russell Cutting</v>
      </c>
      <c r="H27" s="98" t="str">
        <f aca="false">INDEX(Master!$C$2:$BL$2,1,MATCH("M",Master!$C28:$BL28,0))</f>
        <v>Geoff Holden</v>
      </c>
      <c r="I27" s="98" t="str">
        <f aca="false">INDEX(Master!$C$2:$BL$2,1,MATCH("W",Master!$C28:$BL28,0))</f>
        <v>David Phillips</v>
      </c>
      <c r="J27" s="98" t="str">
        <f aca="false">INDEX(Master!$C$2:$BL$2,1,MATCH("M",Master!$C27:$BL27,0))</f>
        <v>Barry Grear</v>
      </c>
      <c r="K27" s="98" t="str">
        <f aca="false">Master!BI28</f>
        <v>Christmas Gifts</v>
      </c>
      <c r="L27" s="99" t="n">
        <f aca="false">TIME(13,44-Master!BG28,0)</f>
        <v>0.559722222222222</v>
      </c>
      <c r="M27" s="98" t="str">
        <f aca="false">INDEX(Master!$C$2:$AT$2,1,MATCH(1,Master!$C28:$AT28,0))</f>
        <v>Peter Martindale</v>
      </c>
      <c r="N27" s="100" t="str">
        <f aca="false">IF(Master!BJ28=0," ",Master!BJ28)</f>
        <v>What I wanted for Christmas</v>
      </c>
      <c r="O27" s="101" t="n">
        <f aca="false">IF(Master!BA28=0," ",Master!BA28)</f>
        <v>5</v>
      </c>
      <c r="P27" s="98" t="str">
        <f aca="false">INDEX(Master!$C$2:$AT$2,1,MATCH(2,Master!$C28:$AT28,0))</f>
        <v>Alistair Knight</v>
      </c>
      <c r="Q27" s="100" t="str">
        <f aca="false">IF(Master!BK28=0," ",Master!BK28)</f>
        <v>What I didn't want for Christmas</v>
      </c>
      <c r="R27" s="101" t="n">
        <f aca="false">IF(Master!BB28=0," ",Master!BB28)</f>
        <v>5</v>
      </c>
      <c r="S27" s="98" t="str">
        <f aca="false">INDEX(Master!$C$2:$AT$2,1,MATCH(3,Master!$C28:$AT28,0))</f>
        <v>Viv Samuel</v>
      </c>
      <c r="T27" s="100" t="str">
        <f aca="false">IF(Master!BL28=0," ",Master!BL28)</f>
        <v>Gifts are for giving, not receiving</v>
      </c>
      <c r="U27" s="101" t="n">
        <f aca="false">IF(Master!BC28=0," ",Master!BC28)</f>
        <v>5</v>
      </c>
      <c r="V27" s="98" t="str">
        <f aca="false">INDEX(Master!$C$2:$AT$2,1,MATCH(4,Master!$C28:$AT28,0))</f>
        <v> </v>
      </c>
      <c r="W27" s="100" t="str">
        <f aca="false">IF(Master!BM28=0," ",Master!BM28)</f>
        <v> </v>
      </c>
      <c r="X27" s="101" t="str">
        <f aca="false">IF(Master!BD28=0," ",Master!BD28)</f>
        <v> </v>
      </c>
      <c r="Y27" s="98" t="str">
        <f aca="false">INDEX(Master!$C$2:$AT$2,1,MATCH(5,Master!$C28:$AT28,0))</f>
        <v> </v>
      </c>
      <c r="Z27" s="100" t="str">
        <f aca="false">IF(Master!BN28=0," ",Master!BN28)</f>
        <v> </v>
      </c>
      <c r="AA27" s="101" t="str">
        <f aca="false">IF(Master!BE28=0," ",Master!BE28)</f>
        <v> </v>
      </c>
      <c r="AB27" s="98" t="str">
        <f aca="false">INDEX(Master!$C$2:$AT$2,1,MATCH(6,Master!$C28:$AT28,0))</f>
        <v> </v>
      </c>
      <c r="AC27" s="100" t="str">
        <f aca="false">IF(Master!BO28=0," ",Master!BO28)</f>
        <v> </v>
      </c>
      <c r="AD27" s="101" t="str">
        <f aca="false">IF(Master!BF28=0," ",Master!BF28)</f>
        <v> </v>
      </c>
      <c r="AE27" s="98" t="str">
        <f aca="false">INDEX(Master!$C$2:$AT$2,1,MATCH(6,Master!$C23:$AT23,0))</f>
        <v> </v>
      </c>
    </row>
    <row r="28" customFormat="false" ht="17.25" hidden="false" customHeight="true" outlineLevel="0" collapsed="false">
      <c r="A28" s="96" t="n">
        <f aca="false">Master!A29</f>
        <v>3352</v>
      </c>
      <c r="B28" s="97" t="n">
        <f aca="false">Master!B29</f>
        <v>40922</v>
      </c>
      <c r="C28" s="98" t="str">
        <f aca="false">VLOOKUP(Master!BH29,Master!BH$35:BI$45,2,FALSE())</f>
        <v>Normal Meeting</v>
      </c>
      <c r="D28" s="98" t="str">
        <f aca="false">VLOOKUP(Master!BH29,Master!BH$35:BK$45,4,FALSE())</f>
        <v> </v>
      </c>
      <c r="E28" s="98" t="str">
        <f aca="false">VLOOKUP(Master!BH29,Master!BH$35:BL$45,5,FALSE())</f>
        <v> </v>
      </c>
      <c r="F28" s="98" t="str">
        <f aca="false">INDEX(Master!$C$2:$BL$2,1,MATCH("X",Master!$C29:$BL29,0))</f>
        <v>TBA</v>
      </c>
      <c r="G28" s="98" t="str">
        <f aca="false">INDEX(Master!$C$2:$BL$2,1,MATCH("C",Master!$C29:$BL29,0))</f>
        <v>Barry Grear</v>
      </c>
      <c r="H28" s="98" t="str">
        <f aca="false">INDEX(Master!$C$2:$BL$2,1,MATCH("M",Master!$C29:$BL29,0))</f>
        <v>Young-Il Kim</v>
      </c>
      <c r="I28" s="98" t="str">
        <f aca="false">INDEX(Master!$C$2:$BL$2,1,MATCH("W",Master!$C29:$BL29,0))</f>
        <v>Rolf Prager</v>
      </c>
      <c r="J28" s="98" t="str">
        <f aca="false">INDEX(Master!$C$2:$BL$2,1,MATCH("M",Master!$C28:$BL28,0))</f>
        <v>Geoff Holden</v>
      </c>
      <c r="K28" s="98" t="str">
        <f aca="false">Master!BI29</f>
        <v>In</v>
      </c>
      <c r="L28" s="99" t="n">
        <f aca="false">TIME(13,44-Master!BG29,0)</f>
        <v>0.554861111111111</v>
      </c>
      <c r="M28" s="98" t="str">
        <f aca="false">INDEX(Master!$C$2:$AT$2,1,MATCH(1,Master!$C29:$AT29,0))</f>
        <v>Kym Beverley</v>
      </c>
      <c r="N28" s="100" t="str">
        <f aca="false">IF(Master!BJ29=0," ",Master!BJ29)</f>
        <v>In the Pink</v>
      </c>
      <c r="O28" s="101" t="n">
        <f aca="false">IF(Master!BA29=0," ",Master!BA29)</f>
        <v>4</v>
      </c>
      <c r="P28" s="98" t="str">
        <f aca="false">INDEX(Master!$C$2:$AT$2,1,MATCH(2,Master!$C29:$AT29,0))</f>
        <v>Don Stuart</v>
      </c>
      <c r="Q28" s="100" t="str">
        <f aca="false">IF(Master!BK29=0," ",Master!BK29)</f>
        <v>In the Swim</v>
      </c>
      <c r="R28" s="101" t="n">
        <f aca="false">IF(Master!BB29=0," ",Master!BB29)</f>
        <v>4</v>
      </c>
      <c r="S28" s="98" t="str">
        <f aca="false">INDEX(Master!$C$2:$AT$2,1,MATCH(3,Master!$C29:$AT29,0))</f>
        <v>Russell Cutting</v>
      </c>
      <c r="T28" s="100" t="str">
        <f aca="false">IF(Master!BL29=0," ",Master!BL29)</f>
        <v>In the Club</v>
      </c>
      <c r="U28" s="101" t="n">
        <f aca="false">IF(Master!BC29=0," ",Master!BC29)</f>
        <v>4</v>
      </c>
      <c r="V28" s="98" t="str">
        <f aca="false">INDEX(Master!$C$2:$AT$2,1,MATCH(4,Master!$C29:$AT29,0))</f>
        <v>Mark Williams</v>
      </c>
      <c r="W28" s="100" t="str">
        <f aca="false">IF(Master!BM29=0," ",Master!BM29)</f>
        <v>In For It</v>
      </c>
      <c r="X28" s="101" t="n">
        <f aca="false">IF(Master!BD29=0," ",Master!BD29)</f>
        <v>4</v>
      </c>
      <c r="Y28" s="98" t="str">
        <f aca="false">INDEX(Master!$C$2:$AT$2,1,MATCH(5,Master!$C29:$AT29,0))</f>
        <v>Richard Smith</v>
      </c>
      <c r="Z28" s="100" t="str">
        <f aca="false">IF(Master!BN29=0," ",Master!BN29)</f>
        <v>In-Jokes</v>
      </c>
      <c r="AA28" s="101" t="n">
        <f aca="false">IF(Master!BE29=0," ",Master!BE29)</f>
        <v>4</v>
      </c>
      <c r="AB28" s="98" t="str">
        <f aca="false">INDEX(Master!$C$2:$AT$2,1,MATCH(6,Master!$C29:$AT29,0))</f>
        <v> </v>
      </c>
      <c r="AC28" s="100" t="str">
        <f aca="false">IF(Master!BO29=0," ",Master!BO29)</f>
        <v> </v>
      </c>
      <c r="AD28" s="101" t="str">
        <f aca="false">IF(Master!BF29=0," ",Master!BF29)</f>
        <v> </v>
      </c>
      <c r="AE28" s="98" t="str">
        <f aca="false">INDEX(Master!$C$2:$AT$2,1,MATCH(6,Master!$C24:$AT24,0))</f>
        <v>Volunteer</v>
      </c>
    </row>
    <row r="29" customFormat="false" ht="17.25" hidden="false" customHeight="true" outlineLevel="0" collapsed="false">
      <c r="A29" s="96" t="n">
        <f aca="false">Master!A30</f>
        <v>3353</v>
      </c>
      <c r="B29" s="97" t="n">
        <f aca="false">Master!B30</f>
        <v>40929</v>
      </c>
      <c r="C29" s="98" t="str">
        <f aca="false">VLOOKUP(Master!BH30,Master!BH$35:BI$45,2,FALSE())</f>
        <v>Normal Meeting</v>
      </c>
      <c r="D29" s="98" t="str">
        <f aca="false">VLOOKUP(Master!BH30,Master!BH$35:BK$45,4,FALSE())</f>
        <v> </v>
      </c>
      <c r="E29" s="98" t="str">
        <f aca="false">VLOOKUP(Master!BH30,Master!BH$35:BL$45,5,FALSE())</f>
        <v> </v>
      </c>
      <c r="F29" s="98" t="str">
        <f aca="false">INDEX(Master!$C$2:$BL$2,1,MATCH("X",Master!$C30:$BL30,0))</f>
        <v>TBA</v>
      </c>
      <c r="G29" s="98" t="str">
        <f aca="false">INDEX(Master!$C$2:$BL$2,1,MATCH("C",Master!$C30:$BL30,0))</f>
        <v>Martin Lambert</v>
      </c>
      <c r="H29" s="98" t="str">
        <f aca="false">INDEX(Master!$C$2:$BL$2,1,MATCH("M",Master!$C30:$BL30,0))</f>
        <v>David Knight</v>
      </c>
      <c r="I29" s="98" t="str">
        <f aca="false">INDEX(Master!$C$2:$BL$2,1,MATCH("W",Master!$C30:$BL30,0))</f>
        <v>Viv Samuel</v>
      </c>
      <c r="J29" s="98" t="str">
        <f aca="false">INDEX(Master!$C$2:$BL$2,1,MATCH("M",Master!$C29:$BL29,0))</f>
        <v>Young-Il Kim</v>
      </c>
      <c r="K29" s="98" t="str">
        <f aca="false">Master!BI30</f>
        <v>Out</v>
      </c>
      <c r="L29" s="99" t="n">
        <f aca="false">TIME(13,44-Master!BG30,0)</f>
        <v>0.555555555555556</v>
      </c>
      <c r="M29" s="98" t="str">
        <f aca="false">INDEX(Master!$C$2:$AT$2,1,MATCH(1,Master!$C30:$AT30,0))</f>
        <v>Terry Anderson</v>
      </c>
      <c r="N29" s="100" t="str">
        <f aca="false">IF(Master!BJ30=0," ",Master!BJ30)</f>
        <v>Out of the Way</v>
      </c>
      <c r="O29" s="101" t="n">
        <f aca="false">IF(Master!BA30=0," ",Master!BA30)</f>
        <v>5</v>
      </c>
      <c r="P29" s="98" t="str">
        <f aca="false">INDEX(Master!$C$2:$AT$2,1,MATCH(2,Master!$C30:$AT30,0))</f>
        <v>Barry Grear</v>
      </c>
      <c r="Q29" s="100" t="str">
        <f aca="false">IF(Master!BK30=0," ",Master!BK30)</f>
        <v>Out and About</v>
      </c>
      <c r="R29" s="101" t="n">
        <f aca="false">IF(Master!BB30=0," ",Master!BB30)</f>
        <v>5</v>
      </c>
      <c r="S29" s="98" t="str">
        <f aca="false">INDEX(Master!$C$2:$AT$2,1,MATCH(3,Master!$C30:$AT30,0))</f>
        <v>Chao-Shui Xu</v>
      </c>
      <c r="T29" s="100" t="str">
        <f aca="false">IF(Master!BL30=0," ",Master!BL30)</f>
        <v>Out of Character</v>
      </c>
      <c r="U29" s="101" t="n">
        <f aca="false">IF(Master!BC30=0," ",Master!BC30)</f>
        <v>5</v>
      </c>
      <c r="V29" s="98" t="str">
        <f aca="false">INDEX(Master!$C$2:$AT$2,1,MATCH(4,Master!$C30:$AT30,0))</f>
        <v>Jim Stewart</v>
      </c>
      <c r="W29" s="100" t="str">
        <f aca="false">IF(Master!BM30=0," ",Master!BM30)</f>
        <v>Out of This World</v>
      </c>
      <c r="X29" s="101" t="n">
        <f aca="false">IF(Master!BD30=0," ",Master!BD30)</f>
        <v>5</v>
      </c>
      <c r="Y29" s="98" t="str">
        <f aca="false">INDEX(Master!$C$2:$AT$2,1,MATCH(5,Master!$C30:$AT30,0))</f>
        <v> </v>
      </c>
      <c r="Z29" s="100" t="str">
        <f aca="false">IF(Master!BN30=0," ",Master!BN30)</f>
        <v> </v>
      </c>
      <c r="AA29" s="101" t="str">
        <f aca="false">IF(Master!BE30=0," ",Master!BE30)</f>
        <v> </v>
      </c>
      <c r="AB29" s="98" t="str">
        <f aca="false">INDEX(Master!$C$2:$AT$2,1,MATCH(6,Master!$C30:$AT30,0))</f>
        <v> </v>
      </c>
      <c r="AC29" s="100" t="str">
        <f aca="false">IF(Master!BO30=0," ",Master!BO30)</f>
        <v> </v>
      </c>
      <c r="AD29" s="101" t="str">
        <f aca="false">IF(Master!BF30=0," ",Master!BF30)</f>
        <v> </v>
      </c>
      <c r="AE29" s="98" t="str">
        <f aca="false">INDEX(Master!$C$2:$AT$2,1,MATCH(6,Master!$C25:$AT25,0))</f>
        <v> </v>
      </c>
    </row>
    <row r="30" customFormat="false" ht="17.25" hidden="false" customHeight="true" outlineLevel="0" collapsed="false">
      <c r="A30" s="96" t="n">
        <f aca="false">Master!A31</f>
        <v>3354</v>
      </c>
      <c r="B30" s="97" t="n">
        <f aca="false">Master!B31</f>
        <v>40936</v>
      </c>
      <c r="C30" s="98" t="str">
        <f aca="false">VLOOKUP(Master!BH31,Master!BH$35:BI$45,2,FALSE())</f>
        <v>Normal Meeting</v>
      </c>
      <c r="D30" s="98" t="str">
        <f aca="false">VLOOKUP(Master!BH31,Master!BH$35:BK$45,4,FALSE())</f>
        <v> </v>
      </c>
      <c r="E30" s="98" t="str">
        <f aca="false">VLOOKUP(Master!BH31,Master!BH$35:BL$45,5,FALSE())</f>
        <v> </v>
      </c>
      <c r="F30" s="98" t="str">
        <f aca="false">INDEX(Master!$C$2:$BL$2,1,MATCH("X",Master!$C31:$BL31,0))</f>
        <v>TBA</v>
      </c>
      <c r="G30" s="98" t="str">
        <f aca="false">INDEX(Master!$C$2:$BL$2,1,MATCH("C",Master!$C31:$BL31,0))</f>
        <v>TBA</v>
      </c>
      <c r="H30" s="98" t="str">
        <f aca="false">INDEX(Master!$C$2:$BL$2,1,MATCH("M",Master!$C31:$BL31,0))</f>
        <v>TBA</v>
      </c>
      <c r="I30" s="98" t="str">
        <f aca="false">INDEX(Master!$C$2:$BL$2,1,MATCH("W",Master!$C31:$BL31,0))</f>
        <v>TBA</v>
      </c>
      <c r="J30" s="98" t="str">
        <f aca="false">INDEX(Master!$C$2:$BL$2,1,MATCH("M",Master!$C30:$BL30,0))</f>
        <v>David Knight</v>
      </c>
      <c r="K30" s="98" t="str">
        <f aca="false">Master!BI31</f>
        <v> </v>
      </c>
      <c r="L30" s="99" t="n">
        <f aca="false">TIME(13,44-Master!BG31,0)</f>
        <v>0.572222222222222</v>
      </c>
      <c r="M30" s="98" t="str">
        <f aca="false">INDEX(Master!$C$2:$AT$2,1,MATCH(1,Master!$C31:$AT31,0))</f>
        <v> </v>
      </c>
      <c r="N30" s="100" t="str">
        <f aca="false">IF(Master!BJ31=0," ",Master!BJ31)</f>
        <v> </v>
      </c>
      <c r="O30" s="101" t="str">
        <f aca="false">IF(Master!BA31=0," ",Master!BA31)</f>
        <v> </v>
      </c>
      <c r="P30" s="98" t="str">
        <f aca="false">INDEX(Master!$C$2:$AT$2,1,MATCH(2,Master!$C31:$AT31,0))</f>
        <v> </v>
      </c>
      <c r="Q30" s="100" t="str">
        <f aca="false">IF(Master!BK31=0," ",Master!BK31)</f>
        <v> </v>
      </c>
      <c r="R30" s="101" t="str">
        <f aca="false">IF(Master!BB31=0," ",Master!BB31)</f>
        <v> </v>
      </c>
      <c r="S30" s="98" t="str">
        <f aca="false">INDEX(Master!$C$2:$AT$2,1,MATCH(3,Master!$C31:$AT31,0))</f>
        <v> </v>
      </c>
      <c r="T30" s="100" t="str">
        <f aca="false">IF(Master!BL31=0," ",Master!BL31)</f>
        <v> </v>
      </c>
      <c r="U30" s="101" t="str">
        <f aca="false">IF(Master!BC31=0," ",Master!BC31)</f>
        <v> </v>
      </c>
      <c r="V30" s="98" t="str">
        <f aca="false">INDEX(Master!$C$2:$AT$2,1,MATCH(4,Master!$C31:$AT31,0))</f>
        <v> </v>
      </c>
      <c r="W30" s="100" t="str">
        <f aca="false">IF(Master!BM31=0," ",Master!BM31)</f>
        <v> </v>
      </c>
      <c r="X30" s="101" t="str">
        <f aca="false">IF(Master!BD31=0," ",Master!BD31)</f>
        <v> </v>
      </c>
      <c r="Y30" s="98" t="str">
        <f aca="false">INDEX(Master!$C$2:$AT$2,1,MATCH(5,Master!$C31:$AT31,0))</f>
        <v> </v>
      </c>
      <c r="Z30" s="100" t="str">
        <f aca="false">IF(Master!BN31=0," ",Master!BN31)</f>
        <v> </v>
      </c>
      <c r="AA30" s="101" t="str">
        <f aca="false">IF(Master!BE31=0," ",Master!BE31)</f>
        <v> </v>
      </c>
      <c r="AB30" s="98" t="str">
        <f aca="false">INDEX(Master!$C$2:$AT$2,1,MATCH(6,Master!$C31:$AT31,0))</f>
        <v> </v>
      </c>
      <c r="AC30" s="100" t="str">
        <f aca="false">IF(Master!BO31=0," ",Master!BO31)</f>
        <v> </v>
      </c>
      <c r="AD30" s="101" t="str">
        <f aca="false">IF(Master!BF31=0," ",Master!BF31)</f>
        <v> </v>
      </c>
      <c r="AE30" s="98" t="str">
        <f aca="false">INDEX(Master!$C$2:$AT$2,1,MATCH(6,Master!$C26:$AT26,0))</f>
        <v> </v>
      </c>
    </row>
    <row r="31" customFormat="false" ht="15" hidden="false" customHeight="false" outlineLevel="0" collapsed="false">
      <c r="U31" s="0"/>
      <c r="V31" s="98" t="e">
        <f aca="false">INDEX(Master!$C$2:$AT$2,1,MATCH(4,Master!$C33:$AT33,0))</f>
        <v>#N/A</v>
      </c>
      <c r="Y31" s="98" t="e">
        <f aca="false">INDEX(Master!$C$2:$AT$2,1,MATCH(5,Master!$C33:$AT33,0))</f>
        <v>#N/A</v>
      </c>
      <c r="AB31" s="98" t="e">
        <f aca="false">INDEX(Master!$C$2:$AT$2,1,MATCH(5,Master!$C33:$AT33,0))</f>
        <v>#N/A</v>
      </c>
    </row>
    <row r="32" customFormat="false" ht="15" hidden="false" customHeight="false" outlineLevel="0" collapsed="false">
      <c r="U32" s="0"/>
      <c r="V32" s="98" t="e">
        <f aca="false">INDEX(Master!$C$2:$AT$2,1,MATCH(4,Master!$C34:$AT34,0))</f>
        <v>#N/A</v>
      </c>
    </row>
    <row r="33" customFormat="false" ht="15" hidden="false" customHeight="false" outlineLevel="0" collapsed="false">
      <c r="U33" s="0"/>
      <c r="V33" s="98" t="e">
        <f aca="false">INDEX(Master!$C$2:$AT$2,1,MATCH(4,Master!$C35:$AT35,0))</f>
        <v>#N/A</v>
      </c>
    </row>
    <row r="34" customFormat="false" ht="15" hidden="false" customHeight="false" outlineLevel="0" collapsed="false">
      <c r="U34" s="91" t="s">
        <v>334</v>
      </c>
      <c r="V34" s="98" t="e">
        <f aca="false">INDEX(Master!$C$2:$AT$2,1,MATCH(4,Master!$C36:$AT36,0))</f>
        <v>#N/A</v>
      </c>
    </row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printOptions headings="false" gridLines="false" gridLinesSet="true" horizontalCentered="false" verticalCentered="false"/>
  <pageMargins left="0" right="0" top="0" bottom="0" header="0.511805555555555" footer="0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&amp;C&amp;"Arial,Regular"&amp;11&amp;P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</TotalTime>
  <Application>LibreOffice/4.3.7.2$MacOSX_X86_64 LibreOffice_project/8a35821d8636a03b8bf4e15b48f59794652c68ba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2014-12-12T01:10:32Z</dcterms:created>
  <dc:creator>Dad</dc:creator>
  <dc:language>en-AU</dc:language>
  <cp:lastPrinted>2015-06-19T15:09:15Z</cp:lastPrinted>
  <dcterms:modified xsi:type="dcterms:W3CDTF">2015-06-20T11:54:01Z</dcterms:modified>
  <cp:revision>44</cp:revision>
</cp:coreProperties>
</file>